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740C11FD-F95D-4C1E-960D-1436AAB84603}" xr6:coauthVersionLast="47" xr6:coauthVersionMax="47" xr10:uidLastSave="{00000000-0000-0000-0000-000000000000}"/>
  <bookViews>
    <workbookView xWindow="-48" yWindow="780" windowWidth="23064" windowHeight="7416" activeTab="4" xr2:uid="{00000000-000D-0000-FFFF-FFFF00000000}"/>
  </bookViews>
  <sheets>
    <sheet name="Y1a - Y2a" sheetId="2" r:id="rId1"/>
    <sheet name="Sharing ba" sheetId="3" r:id="rId2"/>
    <sheet name="Ka" sheetId="4" r:id="rId3"/>
    <sheet name="Sintesi Ka" sheetId="5" r:id="rId4"/>
    <sheet name="Xa" sheetId="11" r:id="rId5"/>
    <sheet name="Sintesi Xa" sheetId="12" r:id="rId6"/>
    <sheet name="Efficacia R1" sheetId="6" r:id="rId7"/>
    <sheet name="Conteggi R1" sheetId="7" r:id="rId8"/>
    <sheet name="Efficacia R2" sheetId="8" r:id="rId9"/>
    <sheet name="Conteggi R2" sheetId="9" r:id="rId10"/>
    <sheet name="R1+R2" sheetId="10" r:id="rId11"/>
  </sheets>
  <externalReferences>
    <externalReference r:id="rId12"/>
  </externalReferences>
  <definedNames>
    <definedName name="_xlnm.Print_Area" localSheetId="1">'Sharing ba'!$A$1:$U$35</definedName>
    <definedName name="_xlnm.Print_Area" localSheetId="0">'Y1a - Y2a'!$A$1:$P$82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4" l="1"/>
  <c r="Y33" i="11"/>
  <c r="X33" i="11"/>
  <c r="M27" i="11"/>
  <c r="L17" i="3"/>
  <c r="J17" i="3"/>
  <c r="I17" i="3"/>
  <c r="G17" i="12" l="1"/>
  <c r="H17" i="12" l="1"/>
  <c r="L17" i="12" s="1"/>
  <c r="X42" i="4"/>
  <c r="F24" i="12"/>
  <c r="E24" i="12"/>
  <c r="D24" i="12"/>
  <c r="C24" i="12"/>
  <c r="F23" i="12"/>
  <c r="E23" i="12"/>
  <c r="D23" i="12"/>
  <c r="C23" i="12"/>
  <c r="F22" i="12"/>
  <c r="E22" i="12"/>
  <c r="D22" i="12"/>
  <c r="C22" i="12"/>
  <c r="F21" i="12"/>
  <c r="E21" i="12"/>
  <c r="D21" i="12"/>
  <c r="C21" i="12"/>
  <c r="F20" i="12"/>
  <c r="E20" i="12"/>
  <c r="D20" i="12"/>
  <c r="C20" i="12"/>
  <c r="F19" i="12"/>
  <c r="E19" i="12"/>
  <c r="D19" i="12"/>
  <c r="C19" i="12"/>
  <c r="F18" i="12"/>
  <c r="E18" i="12"/>
  <c r="D18" i="12"/>
  <c r="C18" i="12"/>
  <c r="F17" i="12"/>
  <c r="E17" i="12"/>
  <c r="D17" i="12"/>
  <c r="C17" i="12"/>
  <c r="F16" i="12"/>
  <c r="E16" i="12"/>
  <c r="D16" i="12"/>
  <c r="C16" i="12"/>
  <c r="F15" i="12"/>
  <c r="E15" i="12"/>
  <c r="D15" i="12"/>
  <c r="C15" i="12"/>
  <c r="F14" i="12"/>
  <c r="E14" i="12"/>
  <c r="D14" i="12"/>
  <c r="C14" i="12"/>
  <c r="F13" i="12"/>
  <c r="E13" i="12"/>
  <c r="D13" i="12"/>
  <c r="C13" i="12"/>
  <c r="F12" i="12"/>
  <c r="E12" i="12"/>
  <c r="D12" i="12"/>
  <c r="C12" i="12"/>
  <c r="F11" i="12"/>
  <c r="E11" i="12"/>
  <c r="D11" i="12"/>
  <c r="C11" i="12"/>
  <c r="F10" i="12"/>
  <c r="E10" i="12"/>
  <c r="D10" i="12"/>
  <c r="C10" i="12"/>
  <c r="F9" i="12"/>
  <c r="E9" i="12"/>
  <c r="D9" i="12"/>
  <c r="C9" i="12"/>
  <c r="F8" i="12"/>
  <c r="E8" i="12"/>
  <c r="D8" i="12"/>
  <c r="C8" i="12"/>
  <c r="F7" i="12"/>
  <c r="E7" i="12"/>
  <c r="D7" i="12"/>
  <c r="C7" i="12"/>
  <c r="F6" i="12"/>
  <c r="E6" i="12"/>
  <c r="D6" i="12"/>
  <c r="C6" i="12"/>
  <c r="I45" i="11"/>
  <c r="H45" i="11"/>
  <c r="J45" i="11" s="1"/>
  <c r="K45" i="11" s="1"/>
  <c r="F45" i="11"/>
  <c r="T45" i="11" s="1"/>
  <c r="I44" i="11"/>
  <c r="H44" i="11"/>
  <c r="J44" i="11" s="1"/>
  <c r="K44" i="11" s="1"/>
  <c r="F44" i="11"/>
  <c r="T44" i="11" s="1"/>
  <c r="T43" i="11"/>
  <c r="I43" i="11"/>
  <c r="H43" i="11"/>
  <c r="J43" i="11" s="1"/>
  <c r="K43" i="11" s="1"/>
  <c r="F43" i="11"/>
  <c r="I42" i="11"/>
  <c r="H42" i="11"/>
  <c r="F42" i="11"/>
  <c r="T42" i="11" s="1"/>
  <c r="I41" i="11"/>
  <c r="J41" i="11" s="1"/>
  <c r="K41" i="11" s="1"/>
  <c r="H41" i="11"/>
  <c r="F41" i="11"/>
  <c r="T41" i="11" s="1"/>
  <c r="I40" i="11"/>
  <c r="H40" i="11"/>
  <c r="J40" i="11" s="1"/>
  <c r="K40" i="11" s="1"/>
  <c r="F40" i="11"/>
  <c r="T40" i="11" s="1"/>
  <c r="I39" i="11"/>
  <c r="H39" i="11"/>
  <c r="F39" i="11"/>
  <c r="T39" i="11" s="1"/>
  <c r="I38" i="11"/>
  <c r="H38" i="11"/>
  <c r="J38" i="11" s="1"/>
  <c r="K38" i="11" s="1"/>
  <c r="O38" i="11" s="1"/>
  <c r="F38" i="11"/>
  <c r="I37" i="11"/>
  <c r="H37" i="11"/>
  <c r="J37" i="11" s="1"/>
  <c r="K37" i="11" s="1"/>
  <c r="F37" i="11"/>
  <c r="T37" i="11" s="1"/>
  <c r="I36" i="11"/>
  <c r="H36" i="11"/>
  <c r="J36" i="11" s="1"/>
  <c r="K36" i="11" s="1"/>
  <c r="F36" i="11"/>
  <c r="T36" i="11" s="1"/>
  <c r="I35" i="11"/>
  <c r="H35" i="11"/>
  <c r="J35" i="11" s="1"/>
  <c r="K35" i="11" s="1"/>
  <c r="F35" i="11"/>
  <c r="T35" i="11" s="1"/>
  <c r="T34" i="11"/>
  <c r="I34" i="11"/>
  <c r="H34" i="11"/>
  <c r="J34" i="11" s="1"/>
  <c r="K34" i="11" s="1"/>
  <c r="F34" i="11"/>
  <c r="I33" i="11"/>
  <c r="H33" i="11"/>
  <c r="J33" i="11" s="1"/>
  <c r="K33" i="11" s="1"/>
  <c r="U33" i="11" s="1"/>
  <c r="F33" i="11"/>
  <c r="T33" i="11" s="1"/>
  <c r="T32" i="11"/>
  <c r="I32" i="11"/>
  <c r="H32" i="11"/>
  <c r="J32" i="11" s="1"/>
  <c r="K32" i="11" s="1"/>
  <c r="F32" i="11"/>
  <c r="I31" i="11"/>
  <c r="H31" i="11"/>
  <c r="J31" i="11" s="1"/>
  <c r="K31" i="11" s="1"/>
  <c r="F31" i="11"/>
  <c r="T31" i="11" s="1"/>
  <c r="I30" i="11"/>
  <c r="H30" i="11"/>
  <c r="F30" i="11"/>
  <c r="T30" i="11" s="1"/>
  <c r="T29" i="11"/>
  <c r="I29" i="11"/>
  <c r="H29" i="11"/>
  <c r="F29" i="11"/>
  <c r="J28" i="11"/>
  <c r="K28" i="11" s="1"/>
  <c r="I28" i="11"/>
  <c r="H28" i="11"/>
  <c r="F28" i="11"/>
  <c r="T28" i="11" s="1"/>
  <c r="I27" i="11"/>
  <c r="H27" i="11"/>
  <c r="J27" i="11" s="1"/>
  <c r="K27" i="11" s="1"/>
  <c r="F27" i="11"/>
  <c r="T27" i="11" s="1"/>
  <c r="Z24" i="11"/>
  <c r="X24" i="11"/>
  <c r="V33" i="11" l="1"/>
  <c r="W33" i="11" s="1"/>
  <c r="Z33" i="11" s="1"/>
  <c r="AA33" i="11" s="1"/>
  <c r="AB33" i="11" s="1"/>
  <c r="AC33" i="11" s="1"/>
  <c r="R33" i="11" s="1"/>
  <c r="G12" i="12" s="1"/>
  <c r="H12" i="12" s="1"/>
  <c r="L12" i="12" s="1"/>
  <c r="J42" i="11"/>
  <c r="K42" i="11" s="1"/>
  <c r="J30" i="11"/>
  <c r="K30" i="11" s="1"/>
  <c r="P30" i="11" s="1"/>
  <c r="J39" i="11"/>
  <c r="K39" i="11" s="1"/>
  <c r="N39" i="11" s="1"/>
  <c r="O27" i="11"/>
  <c r="N27" i="11"/>
  <c r="Q27" i="11"/>
  <c r="P27" i="11"/>
  <c r="U27" i="11"/>
  <c r="V27" i="11" s="1"/>
  <c r="W27" i="11" s="1"/>
  <c r="O30" i="11"/>
  <c r="N30" i="11"/>
  <c r="U30" i="11"/>
  <c r="V30" i="11" s="1"/>
  <c r="W30" i="11" s="1"/>
  <c r="M30" i="11"/>
  <c r="P37" i="11"/>
  <c r="O37" i="11"/>
  <c r="N37" i="11"/>
  <c r="U37" i="11"/>
  <c r="V37" i="11" s="1"/>
  <c r="W37" i="11" s="1"/>
  <c r="M37" i="11"/>
  <c r="Q37" i="11" s="1"/>
  <c r="P41" i="11"/>
  <c r="O41" i="11"/>
  <c r="N41" i="11"/>
  <c r="M41" i="11"/>
  <c r="Q41" i="11" s="1"/>
  <c r="U41" i="11"/>
  <c r="V41" i="11" s="1"/>
  <c r="W41" i="11" s="1"/>
  <c r="O34" i="11"/>
  <c r="M34" i="11"/>
  <c r="N34" i="11"/>
  <c r="P34" i="11"/>
  <c r="U34" i="11"/>
  <c r="V34" i="11" s="1"/>
  <c r="W34" i="11" s="1"/>
  <c r="P33" i="11"/>
  <c r="O33" i="11"/>
  <c r="P35" i="11"/>
  <c r="M35" i="11"/>
  <c r="Q35" i="11" s="1"/>
  <c r="U35" i="11"/>
  <c r="V35" i="11" s="1"/>
  <c r="W35" i="11" s="1"/>
  <c r="P42" i="11"/>
  <c r="M42" i="11"/>
  <c r="Q42" i="11" s="1"/>
  <c r="O42" i="11"/>
  <c r="U42" i="11"/>
  <c r="V42" i="11" s="1"/>
  <c r="W42" i="11" s="1"/>
  <c r="N38" i="11"/>
  <c r="M38" i="11"/>
  <c r="J29" i="11"/>
  <c r="K29" i="11" s="1"/>
  <c r="U31" i="11"/>
  <c r="V31" i="11" s="1"/>
  <c r="W31" i="11" s="1"/>
  <c r="N31" i="11"/>
  <c r="M31" i="11"/>
  <c r="Q31" i="11" s="1"/>
  <c r="N35" i="11"/>
  <c r="P38" i="11"/>
  <c r="N42" i="11"/>
  <c r="P44" i="11"/>
  <c r="O44" i="11"/>
  <c r="M44" i="11"/>
  <c r="N44" i="11"/>
  <c r="U44" i="11"/>
  <c r="V44" i="11" s="1"/>
  <c r="W44" i="11" s="1"/>
  <c r="M33" i="11"/>
  <c r="O35" i="11"/>
  <c r="P28" i="11"/>
  <c r="M28" i="11"/>
  <c r="U28" i="11"/>
  <c r="V28" i="11" s="1"/>
  <c r="W28" i="11" s="1"/>
  <c r="O31" i="11"/>
  <c r="N33" i="11"/>
  <c r="P39" i="11"/>
  <c r="O39" i="11"/>
  <c r="U39" i="11"/>
  <c r="V39" i="11" s="1"/>
  <c r="W39" i="11" s="1"/>
  <c r="M40" i="11"/>
  <c r="U40" i="11"/>
  <c r="V40" i="11" s="1"/>
  <c r="W40" i="11" s="1"/>
  <c r="O40" i="11"/>
  <c r="N40" i="11"/>
  <c r="N43" i="11"/>
  <c r="M43" i="11"/>
  <c r="Q43" i="11" s="1"/>
  <c r="U43" i="11"/>
  <c r="V43" i="11" s="1"/>
  <c r="W43" i="11" s="1"/>
  <c r="P43" i="11"/>
  <c r="O43" i="11"/>
  <c r="N32" i="11"/>
  <c r="M32" i="11"/>
  <c r="U32" i="11"/>
  <c r="V32" i="11" s="1"/>
  <c r="W32" i="11" s="1"/>
  <c r="P32" i="11"/>
  <c r="O32" i="11"/>
  <c r="U45" i="11"/>
  <c r="V45" i="11" s="1"/>
  <c r="W45" i="11" s="1"/>
  <c r="P45" i="11"/>
  <c r="N45" i="11"/>
  <c r="M45" i="11"/>
  <c r="N36" i="11"/>
  <c r="M36" i="11"/>
  <c r="U36" i="11"/>
  <c r="V36" i="11" s="1"/>
  <c r="W36" i="11" s="1"/>
  <c r="P36" i="11"/>
  <c r="O36" i="11"/>
  <c r="N28" i="11"/>
  <c r="P31" i="11"/>
  <c r="O28" i="11"/>
  <c r="M39" i="11"/>
  <c r="Q39" i="11" s="1"/>
  <c r="P40" i="11"/>
  <c r="O45" i="11"/>
  <c r="Z44" i="11" l="1"/>
  <c r="Y44" i="11"/>
  <c r="X44" i="11"/>
  <c r="Q36" i="11"/>
  <c r="Z32" i="11"/>
  <c r="Y32" i="11"/>
  <c r="X32" i="11"/>
  <c r="Q44" i="11"/>
  <c r="Z31" i="11"/>
  <c r="X31" i="11"/>
  <c r="Y31" i="11"/>
  <c r="Y35" i="11"/>
  <c r="Z35" i="11"/>
  <c r="X35" i="11"/>
  <c r="Q34" i="11"/>
  <c r="Z37" i="11"/>
  <c r="Y37" i="11"/>
  <c r="X37" i="11"/>
  <c r="Q32" i="11"/>
  <c r="Y28" i="11"/>
  <c r="Z28" i="11"/>
  <c r="X28" i="11"/>
  <c r="M29" i="11"/>
  <c r="U29" i="11"/>
  <c r="V29" i="11" s="1"/>
  <c r="W29" i="11" s="1"/>
  <c r="P29" i="11"/>
  <c r="O29" i="11"/>
  <c r="N29" i="11"/>
  <c r="X27" i="11"/>
  <c r="Z27" i="11"/>
  <c r="Y27" i="11"/>
  <c r="Y36" i="11"/>
  <c r="X36" i="11"/>
  <c r="Z36" i="11"/>
  <c r="Q45" i="11"/>
  <c r="Z40" i="11"/>
  <c r="X40" i="11"/>
  <c r="Y40" i="11"/>
  <c r="Q28" i="11"/>
  <c r="Q38" i="11"/>
  <c r="Y41" i="11"/>
  <c r="X41" i="11"/>
  <c r="Z41" i="11"/>
  <c r="Q40" i="11"/>
  <c r="Z39" i="11"/>
  <c r="Y39" i="11"/>
  <c r="X39" i="11"/>
  <c r="Z42" i="11"/>
  <c r="Y42" i="11"/>
  <c r="X42" i="11"/>
  <c r="Q30" i="11"/>
  <c r="Z45" i="11"/>
  <c r="Y45" i="11"/>
  <c r="X45" i="11"/>
  <c r="Y43" i="11"/>
  <c r="X43" i="11"/>
  <c r="Z43" i="11"/>
  <c r="Q33" i="11"/>
  <c r="Y34" i="11"/>
  <c r="X34" i="11"/>
  <c r="Z34" i="11"/>
  <c r="Y30" i="11"/>
  <c r="X30" i="11"/>
  <c r="Z30" i="11"/>
  <c r="AA32" i="11" l="1"/>
  <c r="AB32" i="11" s="1"/>
  <c r="AC32" i="11" s="1"/>
  <c r="R32" i="11" s="1"/>
  <c r="G11" i="12" s="1"/>
  <c r="H11" i="12" s="1"/>
  <c r="L11" i="12" s="1"/>
  <c r="AA27" i="11"/>
  <c r="AB27" i="11" s="1"/>
  <c r="AC27" i="11" s="1"/>
  <c r="R27" i="11" s="1"/>
  <c r="G6" i="12" s="1"/>
  <c r="H6" i="12" s="1"/>
  <c r="L6" i="12" s="1"/>
  <c r="AA40" i="11"/>
  <c r="AB40" i="11" s="1"/>
  <c r="AC40" i="11" s="1"/>
  <c r="R40" i="11" s="1"/>
  <c r="G19" i="12" s="1"/>
  <c r="H19" i="12" s="1"/>
  <c r="L19" i="12" s="1"/>
  <c r="AA42" i="11"/>
  <c r="AB42" i="11" s="1"/>
  <c r="AC42" i="11" s="1"/>
  <c r="R42" i="11" s="1"/>
  <c r="G21" i="12" s="1"/>
  <c r="H21" i="12" s="1"/>
  <c r="L21" i="12" s="1"/>
  <c r="AA41" i="11"/>
  <c r="AB41" i="11" s="1"/>
  <c r="AC41" i="11" s="1"/>
  <c r="R41" i="11" s="1"/>
  <c r="G20" i="12" s="1"/>
  <c r="H20" i="12" s="1"/>
  <c r="L20" i="12" s="1"/>
  <c r="AA36" i="11"/>
  <c r="AB36" i="11" s="1"/>
  <c r="AC36" i="11" s="1"/>
  <c r="R36" i="11" s="1"/>
  <c r="G15" i="12" s="1"/>
  <c r="H15" i="12" s="1"/>
  <c r="L15" i="12" s="1"/>
  <c r="Q29" i="11"/>
  <c r="AA39" i="11"/>
  <c r="AB39" i="11" s="1"/>
  <c r="AC39" i="11" s="1"/>
  <c r="R39" i="11" s="1"/>
  <c r="G18" i="12" s="1"/>
  <c r="H18" i="12" s="1"/>
  <c r="L18" i="12" s="1"/>
  <c r="AA28" i="11"/>
  <c r="AB28" i="11" s="1"/>
  <c r="AC28" i="11" s="1"/>
  <c r="R28" i="11" s="1"/>
  <c r="G7" i="12" s="1"/>
  <c r="H7" i="12" s="1"/>
  <c r="L7" i="12" s="1"/>
  <c r="AA35" i="11"/>
  <c r="AB35" i="11" s="1"/>
  <c r="AC35" i="11" s="1"/>
  <c r="R35" i="11" s="1"/>
  <c r="G14" i="12" s="1"/>
  <c r="H14" i="12" s="1"/>
  <c r="L14" i="12" s="1"/>
  <c r="Y29" i="11"/>
  <c r="X29" i="11"/>
  <c r="Z29" i="11"/>
  <c r="AA43" i="11"/>
  <c r="AB43" i="11" s="1"/>
  <c r="AC43" i="11" s="1"/>
  <c r="R43" i="11" s="1"/>
  <c r="G22" i="12" s="1"/>
  <c r="H22" i="12" s="1"/>
  <c r="L22" i="12" s="1"/>
  <c r="AA30" i="11"/>
  <c r="AB30" i="11" s="1"/>
  <c r="AC30" i="11" s="1"/>
  <c r="R30" i="11" s="1"/>
  <c r="G9" i="12" s="1"/>
  <c r="H9" i="12" s="1"/>
  <c r="L9" i="12" s="1"/>
  <c r="AA45" i="11"/>
  <c r="AB45" i="11" s="1"/>
  <c r="AC45" i="11" s="1"/>
  <c r="R45" i="11" s="1"/>
  <c r="G24" i="12" s="1"/>
  <c r="H24" i="12" s="1"/>
  <c r="L24" i="12" s="1"/>
  <c r="AA34" i="11"/>
  <c r="AB34" i="11" s="1"/>
  <c r="AC34" i="11" s="1"/>
  <c r="R34" i="11" s="1"/>
  <c r="G13" i="12" s="1"/>
  <c r="H13" i="12" s="1"/>
  <c r="L13" i="12" s="1"/>
  <c r="AA44" i="11"/>
  <c r="AB44" i="11" s="1"/>
  <c r="AC44" i="11" s="1"/>
  <c r="R44" i="11" s="1"/>
  <c r="G23" i="12" s="1"/>
  <c r="H23" i="12" s="1"/>
  <c r="L23" i="12" s="1"/>
  <c r="AA37" i="11"/>
  <c r="AB37" i="11" s="1"/>
  <c r="AC37" i="11" s="1"/>
  <c r="R37" i="11" s="1"/>
  <c r="G16" i="12" s="1"/>
  <c r="H16" i="12" s="1"/>
  <c r="L16" i="12" s="1"/>
  <c r="AA31" i="11"/>
  <c r="AB31" i="11" s="1"/>
  <c r="AC31" i="11" s="1"/>
  <c r="R31" i="11" s="1"/>
  <c r="G10" i="12" s="1"/>
  <c r="H10" i="12" s="1"/>
  <c r="L10" i="12" s="1"/>
  <c r="AA29" i="11" l="1"/>
  <c r="AB29" i="11" s="1"/>
  <c r="AC29" i="11" s="1"/>
  <c r="R29" i="11" s="1"/>
  <c r="G8" i="12" s="1"/>
  <c r="H8" i="12" s="1"/>
  <c r="L8" i="12" s="1"/>
  <c r="M4" i="8"/>
  <c r="M31" i="8"/>
  <c r="P31" i="8"/>
  <c r="P54" i="8" s="1"/>
  <c r="F7" i="10" s="1"/>
  <c r="K9" i="3"/>
  <c r="J9" i="3"/>
  <c r="K8" i="3"/>
  <c r="J8" i="3"/>
  <c r="P35" i="3"/>
  <c r="N35" i="3"/>
  <c r="L35" i="3"/>
  <c r="J35" i="3"/>
  <c r="P34" i="3"/>
  <c r="N34" i="3"/>
  <c r="L34" i="3"/>
  <c r="J34" i="3"/>
  <c r="P33" i="3"/>
  <c r="N33" i="3"/>
  <c r="L33" i="3"/>
  <c r="J33" i="3"/>
  <c r="P32" i="3"/>
  <c r="N32" i="3"/>
  <c r="L32" i="3"/>
  <c r="J32" i="3"/>
  <c r="P31" i="3"/>
  <c r="N31" i="3"/>
  <c r="L31" i="3"/>
  <c r="J31" i="3"/>
  <c r="P30" i="3"/>
  <c r="N30" i="3"/>
  <c r="L30" i="3"/>
  <c r="J30" i="3"/>
  <c r="P29" i="3"/>
  <c r="N29" i="3"/>
  <c r="L29" i="3"/>
  <c r="J29" i="3"/>
  <c r="P28" i="3"/>
  <c r="N28" i="3"/>
  <c r="L28" i="3"/>
  <c r="J28" i="3"/>
  <c r="P27" i="3"/>
  <c r="N27" i="3"/>
  <c r="L27" i="3"/>
  <c r="J27" i="3"/>
  <c r="P26" i="3"/>
  <c r="N26" i="3"/>
  <c r="L26" i="3"/>
  <c r="J26" i="3"/>
  <c r="P25" i="3"/>
  <c r="N25" i="3"/>
  <c r="L25" i="3"/>
  <c r="J25" i="3"/>
  <c r="P24" i="3"/>
  <c r="N24" i="3"/>
  <c r="L24" i="3"/>
  <c r="J24" i="3"/>
  <c r="P23" i="3"/>
  <c r="N23" i="3"/>
  <c r="L23" i="3"/>
  <c r="J23" i="3"/>
  <c r="P22" i="3"/>
  <c r="N22" i="3"/>
  <c r="L22" i="3"/>
  <c r="J22" i="3"/>
  <c r="P21" i="3"/>
  <c r="N21" i="3"/>
  <c r="L21" i="3"/>
  <c r="J21" i="3"/>
  <c r="P20" i="3"/>
  <c r="N20" i="3"/>
  <c r="L20" i="3"/>
  <c r="J20" i="3"/>
  <c r="P19" i="3"/>
  <c r="N19" i="3"/>
  <c r="L19" i="3"/>
  <c r="J19" i="3"/>
  <c r="P18" i="3"/>
  <c r="N18" i="3"/>
  <c r="L18" i="3"/>
  <c r="J18" i="3"/>
  <c r="P17" i="3"/>
  <c r="N17" i="3"/>
  <c r="M29" i="6"/>
  <c r="K29" i="6"/>
  <c r="B11" i="7"/>
  <c r="F21" i="4"/>
  <c r="U21" i="4" s="1"/>
  <c r="D82" i="2"/>
  <c r="G82" i="2" s="1"/>
  <c r="D81" i="2"/>
  <c r="G81" i="2" s="1"/>
  <c r="D80" i="2"/>
  <c r="G80" i="2" s="1"/>
  <c r="D79" i="2"/>
  <c r="G79" i="2" s="1"/>
  <c r="D78" i="2"/>
  <c r="G78" i="2" s="1"/>
  <c r="D77" i="2"/>
  <c r="G77" i="2" s="1"/>
  <c r="D76" i="2"/>
  <c r="D75" i="2"/>
  <c r="G75" i="2" s="1"/>
  <c r="D74" i="2"/>
  <c r="G74" i="2" s="1"/>
  <c r="D73" i="2"/>
  <c r="G73" i="2" s="1"/>
  <c r="D72" i="2"/>
  <c r="G72" i="2" s="1"/>
  <c r="D71" i="2"/>
  <c r="G71" i="2" s="1"/>
  <c r="D70" i="2"/>
  <c r="G70" i="2" s="1"/>
  <c r="D69" i="2"/>
  <c r="G69" i="2" s="1"/>
  <c r="D68" i="2"/>
  <c r="G68" i="2" s="1"/>
  <c r="D67" i="2"/>
  <c r="G67" i="2" s="1"/>
  <c r="D66" i="2"/>
  <c r="G66" i="2" s="1"/>
  <c r="D65" i="2"/>
  <c r="G65" i="2" s="1"/>
  <c r="D64" i="2"/>
  <c r="G64" i="2" s="1"/>
  <c r="H82" i="2"/>
  <c r="E82" i="2"/>
  <c r="H81" i="2"/>
  <c r="E81" i="2"/>
  <c r="H80" i="2"/>
  <c r="E80" i="2"/>
  <c r="H79" i="2"/>
  <c r="E79" i="2"/>
  <c r="H78" i="2"/>
  <c r="E78" i="2"/>
  <c r="H77" i="2"/>
  <c r="E77" i="2"/>
  <c r="H76" i="2"/>
  <c r="G76" i="2"/>
  <c r="E76" i="2"/>
  <c r="H75" i="2"/>
  <c r="E75" i="2"/>
  <c r="H74" i="2"/>
  <c r="E74" i="2"/>
  <c r="H73" i="2"/>
  <c r="E73" i="2"/>
  <c r="H72" i="2"/>
  <c r="E72" i="2"/>
  <c r="H71" i="2"/>
  <c r="E71" i="2"/>
  <c r="H70" i="2"/>
  <c r="E70" i="2"/>
  <c r="H69" i="2"/>
  <c r="E69" i="2"/>
  <c r="H68" i="2"/>
  <c r="E68" i="2"/>
  <c r="H67" i="2"/>
  <c r="E67" i="2"/>
  <c r="H66" i="2"/>
  <c r="E66" i="2"/>
  <c r="H65" i="2"/>
  <c r="E65" i="2"/>
  <c r="H64" i="2"/>
  <c r="E64" i="2"/>
  <c r="N3" i="6"/>
  <c r="D58" i="6" s="1"/>
  <c r="D3" i="10" s="1"/>
  <c r="H21" i="4" l="1"/>
  <c r="O4" i="8"/>
  <c r="P4" i="8" s="1"/>
  <c r="N54" i="8" s="1"/>
  <c r="N29" i="6"/>
  <c r="F58" i="6" s="1"/>
  <c r="AA18" i="4"/>
  <c r="Y18" i="4"/>
  <c r="F39" i="4"/>
  <c r="F38" i="4"/>
  <c r="F37" i="4"/>
  <c r="F36" i="4"/>
  <c r="F35" i="4"/>
  <c r="F34" i="4"/>
  <c r="F33" i="4"/>
  <c r="F32" i="4"/>
  <c r="H32" i="4" s="1"/>
  <c r="F31" i="4"/>
  <c r="F30" i="4"/>
  <c r="F29" i="4"/>
  <c r="F28" i="4"/>
  <c r="F27" i="4"/>
  <c r="H27" i="4" s="1"/>
  <c r="F26" i="4"/>
  <c r="F25" i="4"/>
  <c r="F24" i="4"/>
  <c r="F23" i="4"/>
  <c r="F22" i="4"/>
  <c r="E54" i="2"/>
  <c r="G54" i="2" s="1"/>
  <c r="I54" i="2" s="1"/>
  <c r="J54" i="2" s="1"/>
  <c r="E53" i="2"/>
  <c r="H53" i="2" s="1"/>
  <c r="K53" i="2" s="1"/>
  <c r="L53" i="2" s="1"/>
  <c r="E52" i="2"/>
  <c r="G52" i="2" s="1"/>
  <c r="I52" i="2" s="1"/>
  <c r="J52" i="2" s="1"/>
  <c r="E51" i="2"/>
  <c r="H51" i="2" s="1"/>
  <c r="K51" i="2" s="1"/>
  <c r="L51" i="2" s="1"/>
  <c r="E50" i="2"/>
  <c r="G50" i="2" s="1"/>
  <c r="I50" i="2" s="1"/>
  <c r="J50" i="2" s="1"/>
  <c r="E49" i="2"/>
  <c r="G49" i="2" s="1"/>
  <c r="I49" i="2" s="1"/>
  <c r="J49" i="2" s="1"/>
  <c r="E48" i="2"/>
  <c r="G48" i="2" s="1"/>
  <c r="I48" i="2" s="1"/>
  <c r="J48" i="2" s="1"/>
  <c r="E47" i="2"/>
  <c r="H47" i="2" s="1"/>
  <c r="K47" i="2" s="1"/>
  <c r="L47" i="2" s="1"/>
  <c r="E46" i="2"/>
  <c r="G46" i="2" s="1"/>
  <c r="I46" i="2" s="1"/>
  <c r="J46" i="2" s="1"/>
  <c r="E45" i="2"/>
  <c r="H45" i="2" s="1"/>
  <c r="K45" i="2" s="1"/>
  <c r="L45" i="2" s="1"/>
  <c r="E44" i="2"/>
  <c r="G44" i="2" s="1"/>
  <c r="I44" i="2" s="1"/>
  <c r="J44" i="2" s="1"/>
  <c r="E43" i="2"/>
  <c r="H43" i="2" s="1"/>
  <c r="K43" i="2" s="1"/>
  <c r="L43" i="2" s="1"/>
  <c r="E42" i="2"/>
  <c r="G42" i="2" s="1"/>
  <c r="I42" i="2" s="1"/>
  <c r="J42" i="2" s="1"/>
  <c r="E41" i="2"/>
  <c r="H41" i="2" s="1"/>
  <c r="K41" i="2" s="1"/>
  <c r="L41" i="2" s="1"/>
  <c r="E40" i="2"/>
  <c r="G40" i="2" s="1"/>
  <c r="I40" i="2" s="1"/>
  <c r="J40" i="2" s="1"/>
  <c r="E39" i="2"/>
  <c r="G39" i="2" s="1"/>
  <c r="I39" i="2" s="1"/>
  <c r="J39" i="2" s="1"/>
  <c r="E38" i="2"/>
  <c r="G38" i="2" s="1"/>
  <c r="I38" i="2" s="1"/>
  <c r="J38" i="2" s="1"/>
  <c r="E37" i="2"/>
  <c r="H37" i="2" s="1"/>
  <c r="K37" i="2" s="1"/>
  <c r="L37" i="2" s="1"/>
  <c r="E36" i="2"/>
  <c r="G36" i="2" s="1"/>
  <c r="I36" i="2" s="1"/>
  <c r="J36" i="2" s="1"/>
  <c r="U23" i="4" l="1"/>
  <c r="H23" i="4"/>
  <c r="U30" i="4"/>
  <c r="H30" i="4"/>
  <c r="U33" i="4"/>
  <c r="H33" i="4"/>
  <c r="U37" i="4"/>
  <c r="H37" i="4"/>
  <c r="U38" i="4"/>
  <c r="H38" i="4"/>
  <c r="U39" i="4"/>
  <c r="H39" i="4"/>
  <c r="U24" i="4"/>
  <c r="H24" i="4"/>
  <c r="U25" i="4"/>
  <c r="H25" i="4"/>
  <c r="U26" i="4"/>
  <c r="H26" i="4"/>
  <c r="U34" i="4"/>
  <c r="H34" i="4"/>
  <c r="U29" i="4"/>
  <c r="H29" i="4"/>
  <c r="U31" i="4"/>
  <c r="H31" i="4"/>
  <c r="U35" i="4"/>
  <c r="H35" i="4"/>
  <c r="U22" i="4"/>
  <c r="H22" i="4"/>
  <c r="U28" i="4"/>
  <c r="H28" i="4"/>
  <c r="U36" i="4"/>
  <c r="H36" i="4"/>
  <c r="D7" i="10"/>
  <c r="G7" i="10" s="1"/>
  <c r="Q54" i="8"/>
  <c r="G58" i="6"/>
  <c r="C64" i="2" s="1"/>
  <c r="F64" i="2" s="1"/>
  <c r="I64" i="2" s="1"/>
  <c r="F3" i="10"/>
  <c r="G3" i="10" s="1"/>
  <c r="G17" i="5"/>
  <c r="G43" i="2"/>
  <c r="G51" i="2"/>
  <c r="G45" i="2"/>
  <c r="G53" i="2"/>
  <c r="G47" i="2"/>
  <c r="G41" i="2"/>
  <c r="H39" i="2"/>
  <c r="H49" i="2"/>
  <c r="H46" i="2"/>
  <c r="H48" i="2"/>
  <c r="H50" i="2"/>
  <c r="H52" i="2"/>
  <c r="H54" i="2"/>
  <c r="H38" i="2"/>
  <c r="H40" i="2"/>
  <c r="H42" i="2"/>
  <c r="H44" i="2"/>
  <c r="G37" i="2"/>
  <c r="H36" i="2"/>
  <c r="C67" i="2" l="1"/>
  <c r="F67" i="2" s="1"/>
  <c r="C65" i="2"/>
  <c r="F65" i="2" s="1"/>
  <c r="C71" i="2"/>
  <c r="F71" i="2" s="1"/>
  <c r="M71" i="2" s="1"/>
  <c r="C68" i="2"/>
  <c r="F68" i="2" s="1"/>
  <c r="C74" i="2"/>
  <c r="F74" i="2" s="1"/>
  <c r="I74" i="2" s="1"/>
  <c r="N74" i="2" s="1"/>
  <c r="C72" i="2"/>
  <c r="F72" i="2" s="1"/>
  <c r="C82" i="2"/>
  <c r="F82" i="2" s="1"/>
  <c r="I82" i="2" s="1"/>
  <c r="C75" i="2"/>
  <c r="F75" i="2" s="1"/>
  <c r="C66" i="2"/>
  <c r="F66" i="2" s="1"/>
  <c r="O66" i="2" s="1"/>
  <c r="C77" i="2"/>
  <c r="F77" i="2" s="1"/>
  <c r="K77" i="2" s="1"/>
  <c r="P77" i="2" s="1"/>
  <c r="C69" i="2"/>
  <c r="F69" i="2" s="1"/>
  <c r="M69" i="2" s="1"/>
  <c r="C80" i="2"/>
  <c r="F80" i="2" s="1"/>
  <c r="K80" i="2" s="1"/>
  <c r="P80" i="2" s="1"/>
  <c r="C73" i="2"/>
  <c r="F73" i="2" s="1"/>
  <c r="M73" i="2" s="1"/>
  <c r="C78" i="2"/>
  <c r="F78" i="2" s="1"/>
  <c r="H59" i="6"/>
  <c r="H58" i="6"/>
  <c r="C70" i="2"/>
  <c r="F70" i="2" s="1"/>
  <c r="O70" i="2" s="1"/>
  <c r="C79" i="2"/>
  <c r="F79" i="2" s="1"/>
  <c r="M79" i="2" s="1"/>
  <c r="C76" i="2"/>
  <c r="F76" i="2" s="1"/>
  <c r="O76" i="2" s="1"/>
  <c r="C81" i="2"/>
  <c r="F81" i="2" s="1"/>
  <c r="I81" i="2" s="1"/>
  <c r="N81" i="2" s="1"/>
  <c r="O67" i="2"/>
  <c r="K65" i="2"/>
  <c r="P65" i="2" s="1"/>
  <c r="O80" i="2"/>
  <c r="K64" i="2"/>
  <c r="N64" i="2"/>
  <c r="P64" i="2"/>
  <c r="K67" i="2"/>
  <c r="P67" i="2" s="1"/>
  <c r="O65" i="2"/>
  <c r="O68" i="2"/>
  <c r="I65" i="2"/>
  <c r="N65" i="2" s="1"/>
  <c r="M65" i="2"/>
  <c r="K71" i="2"/>
  <c r="P71" i="2" s="1"/>
  <c r="O71" i="2"/>
  <c r="O64" i="2"/>
  <c r="K74" i="2"/>
  <c r="P74" i="2" s="1"/>
  <c r="M74" i="2"/>
  <c r="O82" i="2"/>
  <c r="I67" i="2"/>
  <c r="N67" i="2" s="1"/>
  <c r="M64" i="2"/>
  <c r="I71" i="2"/>
  <c r="N71" i="2" s="1"/>
  <c r="O74" i="2"/>
  <c r="M67" i="2"/>
  <c r="F42" i="2"/>
  <c r="K42" i="2"/>
  <c r="L42" i="2" s="1"/>
  <c r="F48" i="2"/>
  <c r="K48" i="2"/>
  <c r="L48" i="2" s="1"/>
  <c r="F53" i="2"/>
  <c r="I53" i="2"/>
  <c r="J53" i="2" s="1"/>
  <c r="F44" i="2"/>
  <c r="K44" i="2"/>
  <c r="L44" i="2" s="1"/>
  <c r="F50" i="2"/>
  <c r="K50" i="2"/>
  <c r="L50" i="2" s="1"/>
  <c r="F47" i="2"/>
  <c r="I47" i="2"/>
  <c r="J47" i="2" s="1"/>
  <c r="F37" i="2"/>
  <c r="I37" i="2"/>
  <c r="J37" i="2" s="1"/>
  <c r="F52" i="2"/>
  <c r="K52" i="2"/>
  <c r="L52" i="2" s="1"/>
  <c r="F41" i="2"/>
  <c r="I41" i="2"/>
  <c r="J41" i="2" s="1"/>
  <c r="F36" i="2"/>
  <c r="K36" i="2"/>
  <c r="L36" i="2" s="1"/>
  <c r="F54" i="2"/>
  <c r="K54" i="2"/>
  <c r="L54" i="2" s="1"/>
  <c r="F39" i="2"/>
  <c r="K39" i="2"/>
  <c r="L39" i="2" s="1"/>
  <c r="F43" i="2"/>
  <c r="I43" i="2"/>
  <c r="J43" i="2" s="1"/>
  <c r="F38" i="2"/>
  <c r="K38" i="2"/>
  <c r="L38" i="2" s="1"/>
  <c r="F49" i="2"/>
  <c r="K49" i="2"/>
  <c r="L49" i="2" s="1"/>
  <c r="F51" i="2"/>
  <c r="I51" i="2"/>
  <c r="J51" i="2" s="1"/>
  <c r="F40" i="2"/>
  <c r="K40" i="2"/>
  <c r="L40" i="2" s="1"/>
  <c r="F46" i="2"/>
  <c r="N46" i="2" s="1"/>
  <c r="K46" i="2"/>
  <c r="L46" i="2" s="1"/>
  <c r="F45" i="2"/>
  <c r="I45" i="2"/>
  <c r="J45" i="2" s="1"/>
  <c r="K68" i="2" l="1"/>
  <c r="P68" i="2" s="1"/>
  <c r="M68" i="2"/>
  <c r="I68" i="2"/>
  <c r="N68" i="2" s="1"/>
  <c r="O72" i="2"/>
  <c r="M72" i="2"/>
  <c r="M75" i="2"/>
  <c r="K75" i="2"/>
  <c r="P75" i="2" s="1"/>
  <c r="K78" i="2"/>
  <c r="P78" i="2" s="1"/>
  <c r="O78" i="2"/>
  <c r="K69" i="2"/>
  <c r="P69" i="2" s="1"/>
  <c r="M77" i="2"/>
  <c r="I75" i="2"/>
  <c r="N75" i="2" s="1"/>
  <c r="I73" i="2"/>
  <c r="N73" i="2" s="1"/>
  <c r="O77" i="2"/>
  <c r="I72" i="2"/>
  <c r="N72" i="2" s="1"/>
  <c r="I70" i="2"/>
  <c r="N70" i="2" s="1"/>
  <c r="I69" i="2"/>
  <c r="N69" i="2" s="1"/>
  <c r="K82" i="2"/>
  <c r="P82" i="2" s="1"/>
  <c r="M82" i="2"/>
  <c r="N82" i="2"/>
  <c r="K72" i="2"/>
  <c r="P72" i="2" s="1"/>
  <c r="M70" i="2"/>
  <c r="O73" i="2"/>
  <c r="K66" i="2"/>
  <c r="P66" i="2" s="1"/>
  <c r="I79" i="2"/>
  <c r="N79" i="2" s="1"/>
  <c r="M66" i="2"/>
  <c r="I78" i="2"/>
  <c r="N78" i="2" s="1"/>
  <c r="D31" i="3" s="1"/>
  <c r="I77" i="2"/>
  <c r="N77" i="2" s="1"/>
  <c r="K70" i="2"/>
  <c r="P70" i="2" s="1"/>
  <c r="J27" i="4" s="1"/>
  <c r="O79" i="2"/>
  <c r="K76" i="2"/>
  <c r="P76" i="2" s="1"/>
  <c r="K79" i="2"/>
  <c r="P79" i="2" s="1"/>
  <c r="O81" i="2"/>
  <c r="M78" i="2"/>
  <c r="M81" i="2"/>
  <c r="K81" i="2"/>
  <c r="P81" i="2" s="1"/>
  <c r="D34" i="3" s="1"/>
  <c r="I76" i="2"/>
  <c r="N76" i="2" s="1"/>
  <c r="I66" i="2"/>
  <c r="N66" i="2" s="1"/>
  <c r="O75" i="2"/>
  <c r="M76" i="2"/>
  <c r="M80" i="2"/>
  <c r="K73" i="2"/>
  <c r="P73" i="2" s="1"/>
  <c r="I80" i="2"/>
  <c r="N80" i="2" s="1"/>
  <c r="J37" i="4" s="1"/>
  <c r="O69" i="2"/>
  <c r="P36" i="2"/>
  <c r="N36" i="2"/>
  <c r="O36" i="2"/>
  <c r="P46" i="2"/>
  <c r="C27" i="3" s="1"/>
  <c r="C16" i="5" s="1"/>
  <c r="M36" i="2"/>
  <c r="N45" i="2"/>
  <c r="M45" i="2"/>
  <c r="O45" i="2"/>
  <c r="P45" i="2"/>
  <c r="P51" i="2"/>
  <c r="M51" i="2"/>
  <c r="O51" i="2"/>
  <c r="O43" i="2"/>
  <c r="N43" i="2"/>
  <c r="M43" i="2"/>
  <c r="P43" i="2"/>
  <c r="P37" i="2"/>
  <c r="M37" i="2"/>
  <c r="O37" i="2"/>
  <c r="N44" i="2"/>
  <c r="M44" i="2"/>
  <c r="O44" i="2"/>
  <c r="O42" i="2"/>
  <c r="P42" i="2"/>
  <c r="M42" i="2"/>
  <c r="N42" i="2"/>
  <c r="P40" i="2"/>
  <c r="M40" i="2"/>
  <c r="O40" i="2"/>
  <c r="N40" i="2"/>
  <c r="P38" i="2"/>
  <c r="O38" i="2"/>
  <c r="M38" i="2"/>
  <c r="N38" i="2"/>
  <c r="M54" i="2"/>
  <c r="O54" i="2"/>
  <c r="P54" i="2"/>
  <c r="N54" i="2"/>
  <c r="M52" i="2"/>
  <c r="P52" i="2"/>
  <c r="O52" i="2"/>
  <c r="N52" i="2"/>
  <c r="M50" i="2"/>
  <c r="O50" i="2"/>
  <c r="P50" i="2"/>
  <c r="N50" i="2"/>
  <c r="M48" i="2"/>
  <c r="O48" i="2"/>
  <c r="P48" i="2"/>
  <c r="N48" i="2"/>
  <c r="M46" i="2"/>
  <c r="N51" i="2"/>
  <c r="N37" i="2"/>
  <c r="P44" i="2"/>
  <c r="P39" i="2"/>
  <c r="M39" i="2"/>
  <c r="O39" i="2"/>
  <c r="N39" i="2"/>
  <c r="P41" i="2"/>
  <c r="O41" i="2"/>
  <c r="M41" i="2"/>
  <c r="M47" i="2"/>
  <c r="O47" i="2"/>
  <c r="P47" i="2"/>
  <c r="M53" i="2"/>
  <c r="O53" i="2"/>
  <c r="P53" i="2"/>
  <c r="M49" i="2"/>
  <c r="O49" i="2"/>
  <c r="P49" i="2"/>
  <c r="N49" i="2"/>
  <c r="O46" i="2"/>
  <c r="N41" i="2"/>
  <c r="N47" i="2"/>
  <c r="N53" i="2"/>
  <c r="D18" i="3"/>
  <c r="D21" i="3"/>
  <c r="D27" i="3"/>
  <c r="D25" i="3" l="1"/>
  <c r="D14" i="5" s="1"/>
  <c r="D26" i="3"/>
  <c r="D15" i="5" s="1"/>
  <c r="J36" i="4"/>
  <c r="J39" i="4"/>
  <c r="D35" i="3"/>
  <c r="D24" i="5" s="1"/>
  <c r="I31" i="3"/>
  <c r="K31" i="3"/>
  <c r="M31" i="3"/>
  <c r="O31" i="3"/>
  <c r="O34" i="3"/>
  <c r="M34" i="3"/>
  <c r="K34" i="3"/>
  <c r="I34" i="3"/>
  <c r="O18" i="3"/>
  <c r="M18" i="3"/>
  <c r="K18" i="3"/>
  <c r="I18" i="3"/>
  <c r="O21" i="3"/>
  <c r="M21" i="3"/>
  <c r="K21" i="3"/>
  <c r="I21" i="3"/>
  <c r="O27" i="3"/>
  <c r="M27" i="3"/>
  <c r="K27" i="3"/>
  <c r="I27" i="3"/>
  <c r="D23" i="3"/>
  <c r="J23" i="4"/>
  <c r="J29" i="4"/>
  <c r="J33" i="4"/>
  <c r="C18" i="3"/>
  <c r="C7" i="5" s="1"/>
  <c r="I31" i="4"/>
  <c r="I21" i="4"/>
  <c r="C17" i="3"/>
  <c r="C6" i="5" s="1"/>
  <c r="I24" i="4"/>
  <c r="I22" i="4"/>
  <c r="I36" i="4"/>
  <c r="I35" i="4"/>
  <c r="C20" i="3"/>
  <c r="C9" i="5" s="1"/>
  <c r="C22" i="3"/>
  <c r="C11" i="5" s="1"/>
  <c r="I23" i="4"/>
  <c r="C28" i="3"/>
  <c r="C17" i="5" s="1"/>
  <c r="I28" i="4"/>
  <c r="C29" i="3"/>
  <c r="C18" i="5" s="1"/>
  <c r="I39" i="4"/>
  <c r="C23" i="3"/>
  <c r="C12" i="5" s="1"/>
  <c r="I29" i="4"/>
  <c r="C31" i="3"/>
  <c r="C20" i="5" s="1"/>
  <c r="I37" i="4"/>
  <c r="K37" i="4" s="1"/>
  <c r="L37" i="4" s="1"/>
  <c r="C26" i="3"/>
  <c r="C15" i="5" s="1"/>
  <c r="C33" i="3"/>
  <c r="C22" i="5" s="1"/>
  <c r="I34" i="4"/>
  <c r="I27" i="4"/>
  <c r="K27" i="4" s="1"/>
  <c r="L27" i="4" s="1"/>
  <c r="C32" i="3"/>
  <c r="C21" i="5" s="1"/>
  <c r="I25" i="4"/>
  <c r="I30" i="4"/>
  <c r="C30" i="3"/>
  <c r="C19" i="5" s="1"/>
  <c r="C35" i="3"/>
  <c r="C24" i="5" s="1"/>
  <c r="C25" i="3"/>
  <c r="C14" i="5" s="1"/>
  <c r="I32" i="4"/>
  <c r="C24" i="3"/>
  <c r="C13" i="5" s="1"/>
  <c r="I26" i="4"/>
  <c r="C34" i="3"/>
  <c r="I38" i="4"/>
  <c r="C21" i="3"/>
  <c r="C10" i="5" s="1"/>
  <c r="I33" i="4"/>
  <c r="C19" i="3"/>
  <c r="D28" i="3"/>
  <c r="J24" i="4"/>
  <c r="J34" i="4"/>
  <c r="J30" i="4"/>
  <c r="D19" i="3"/>
  <c r="D24" i="3"/>
  <c r="D29" i="3"/>
  <c r="J31" i="4"/>
  <c r="D20" i="3"/>
  <c r="J32" i="4"/>
  <c r="D32" i="3"/>
  <c r="J25" i="4"/>
  <c r="D33" i="3"/>
  <c r="D22" i="3"/>
  <c r="J26" i="4"/>
  <c r="D30" i="3"/>
  <c r="J35" i="4"/>
  <c r="J21" i="4"/>
  <c r="J38" i="4"/>
  <c r="D7" i="5"/>
  <c r="J22" i="4"/>
  <c r="J28" i="4"/>
  <c r="D17" i="3"/>
  <c r="D12" i="5"/>
  <c r="D20" i="5"/>
  <c r="D10" i="5"/>
  <c r="D23" i="5"/>
  <c r="D16" i="5"/>
  <c r="K21" i="4" l="1"/>
  <c r="Q37" i="4"/>
  <c r="P37" i="4"/>
  <c r="O37" i="4"/>
  <c r="N37" i="4"/>
  <c r="R37" i="4" s="1"/>
  <c r="N27" i="4"/>
  <c r="O27" i="4"/>
  <c r="Q27" i="4"/>
  <c r="P27" i="4"/>
  <c r="K36" i="4"/>
  <c r="L36" i="4" s="1"/>
  <c r="K33" i="4"/>
  <c r="L33" i="4" s="1"/>
  <c r="K23" i="4"/>
  <c r="L23" i="4" s="1"/>
  <c r="K29" i="4"/>
  <c r="L29" i="4" s="1"/>
  <c r="I25" i="3"/>
  <c r="Q25" i="3" s="1"/>
  <c r="K25" i="3"/>
  <c r="R25" i="3" s="1"/>
  <c r="M25" i="3"/>
  <c r="S25" i="3" s="1"/>
  <c r="O25" i="3"/>
  <c r="T25" i="3" s="1"/>
  <c r="I26" i="3"/>
  <c r="Q26" i="3" s="1"/>
  <c r="K26" i="3"/>
  <c r="R26" i="3" s="1"/>
  <c r="M26" i="3"/>
  <c r="S26" i="3" s="1"/>
  <c r="O26" i="3"/>
  <c r="T26" i="3" s="1"/>
  <c r="I35" i="3"/>
  <c r="Q35" i="3" s="1"/>
  <c r="K35" i="3"/>
  <c r="R35" i="3" s="1"/>
  <c r="M35" i="3"/>
  <c r="S35" i="3" s="1"/>
  <c r="O35" i="3"/>
  <c r="T35" i="3" s="1"/>
  <c r="K39" i="4"/>
  <c r="L39" i="4" s="1"/>
  <c r="I23" i="3"/>
  <c r="Q23" i="3" s="1"/>
  <c r="K23" i="3"/>
  <c r="R23" i="3" s="1"/>
  <c r="M23" i="3"/>
  <c r="S23" i="3" s="1"/>
  <c r="O23" i="3"/>
  <c r="T23" i="3" s="1"/>
  <c r="O28" i="3"/>
  <c r="I28" i="3"/>
  <c r="Q28" i="3" s="1"/>
  <c r="K28" i="3"/>
  <c r="M28" i="3"/>
  <c r="S28" i="3" s="1"/>
  <c r="O19" i="3"/>
  <c r="M19" i="3"/>
  <c r="K19" i="3"/>
  <c r="R19" i="3" s="1"/>
  <c r="I19" i="3"/>
  <c r="D13" i="5"/>
  <c r="I24" i="3"/>
  <c r="K24" i="3"/>
  <c r="M24" i="3"/>
  <c r="O24" i="3"/>
  <c r="K29" i="3"/>
  <c r="I29" i="3"/>
  <c r="Q29" i="3" s="1"/>
  <c r="O29" i="3"/>
  <c r="M29" i="3"/>
  <c r="I20" i="3"/>
  <c r="Q20" i="3" s="1"/>
  <c r="O20" i="3"/>
  <c r="M20" i="3"/>
  <c r="K20" i="3"/>
  <c r="M32" i="3"/>
  <c r="O32" i="3"/>
  <c r="K32" i="3"/>
  <c r="I32" i="3"/>
  <c r="M33" i="3"/>
  <c r="O33" i="3"/>
  <c r="I33" i="3"/>
  <c r="Q33" i="3" s="1"/>
  <c r="K33" i="3"/>
  <c r="O22" i="3"/>
  <c r="K22" i="3"/>
  <c r="I22" i="3"/>
  <c r="Q22" i="3" s="1"/>
  <c r="M22" i="3"/>
  <c r="K30" i="3"/>
  <c r="M30" i="3"/>
  <c r="O30" i="3"/>
  <c r="I30" i="3"/>
  <c r="D6" i="5"/>
  <c r="K17" i="3"/>
  <c r="O17" i="3"/>
  <c r="M17" i="3"/>
  <c r="K31" i="4"/>
  <c r="L31" i="4" s="1"/>
  <c r="S18" i="3"/>
  <c r="T18" i="3"/>
  <c r="K24" i="4"/>
  <c r="L24" i="4" s="1"/>
  <c r="K22" i="4"/>
  <c r="L22" i="4" s="1"/>
  <c r="K28" i="4"/>
  <c r="L28" i="4" s="1"/>
  <c r="K35" i="4"/>
  <c r="L35" i="4" s="1"/>
  <c r="K38" i="4"/>
  <c r="L38" i="4" s="1"/>
  <c r="S32" i="3"/>
  <c r="S20" i="3"/>
  <c r="R31" i="3"/>
  <c r="K25" i="4"/>
  <c r="L25" i="4" s="1"/>
  <c r="S21" i="3"/>
  <c r="T31" i="3"/>
  <c r="S31" i="3"/>
  <c r="Q31" i="3"/>
  <c r="T21" i="3"/>
  <c r="K26" i="4"/>
  <c r="L26" i="4" s="1"/>
  <c r="K34" i="4"/>
  <c r="L34" i="4" s="1"/>
  <c r="Q21" i="3"/>
  <c r="K32" i="4"/>
  <c r="L32" i="4" s="1"/>
  <c r="K30" i="4"/>
  <c r="L30" i="4" s="1"/>
  <c r="R21" i="3"/>
  <c r="D8" i="5"/>
  <c r="D17" i="5"/>
  <c r="C23" i="5"/>
  <c r="R34" i="3"/>
  <c r="Q34" i="3"/>
  <c r="T34" i="3"/>
  <c r="S34" i="3"/>
  <c r="C8" i="5"/>
  <c r="D9" i="5"/>
  <c r="D21" i="5"/>
  <c r="D18" i="5"/>
  <c r="D22" i="5"/>
  <c r="D11" i="5"/>
  <c r="D19" i="5"/>
  <c r="V37" i="4"/>
  <c r="W37" i="4" s="1"/>
  <c r="X37" i="4" s="1"/>
  <c r="R18" i="3"/>
  <c r="Q27" i="3"/>
  <c r="Q18" i="3"/>
  <c r="S27" i="3"/>
  <c r="R27" i="3"/>
  <c r="T27" i="3"/>
  <c r="R27" i="4" l="1"/>
  <c r="Q29" i="4"/>
  <c r="P29" i="4"/>
  <c r="O29" i="4"/>
  <c r="N29" i="4"/>
  <c r="Q30" i="4"/>
  <c r="N30" i="4"/>
  <c r="P30" i="4"/>
  <c r="O30" i="4"/>
  <c r="Q22" i="4"/>
  <c r="P22" i="4"/>
  <c r="O22" i="4"/>
  <c r="N22" i="4"/>
  <c r="O25" i="4"/>
  <c r="Q25" i="4"/>
  <c r="N25" i="4"/>
  <c r="P25" i="4"/>
  <c r="N23" i="4"/>
  <c r="P23" i="4"/>
  <c r="O23" i="4"/>
  <c r="Q23" i="4"/>
  <c r="N33" i="4"/>
  <c r="R33" i="4" s="1"/>
  <c r="F18" i="5" s="1"/>
  <c r="O33" i="4"/>
  <c r="Q33" i="4"/>
  <c r="P33" i="4"/>
  <c r="N36" i="4"/>
  <c r="O36" i="4"/>
  <c r="Q36" i="4"/>
  <c r="P36" i="4"/>
  <c r="P21" i="4"/>
  <c r="O21" i="4"/>
  <c r="Q21" i="4"/>
  <c r="N21" i="4"/>
  <c r="Q38" i="4"/>
  <c r="P38" i="4"/>
  <c r="O38" i="4"/>
  <c r="N38" i="4"/>
  <c r="N28" i="4"/>
  <c r="R28" i="4" s="1"/>
  <c r="O28" i="4"/>
  <c r="Q28" i="4"/>
  <c r="P28" i="4"/>
  <c r="P32" i="4"/>
  <c r="O32" i="4"/>
  <c r="N32" i="4"/>
  <c r="Q32" i="4"/>
  <c r="P24" i="4"/>
  <c r="Q24" i="4"/>
  <c r="O24" i="4"/>
  <c r="N24" i="4"/>
  <c r="O34" i="4"/>
  <c r="P34" i="4"/>
  <c r="N34" i="4"/>
  <c r="R34" i="4" s="1"/>
  <c r="Q34" i="4"/>
  <c r="O26" i="4"/>
  <c r="N26" i="4"/>
  <c r="Q26" i="4"/>
  <c r="P26" i="4"/>
  <c r="Q39" i="4"/>
  <c r="O39" i="4"/>
  <c r="P39" i="4"/>
  <c r="R39" i="4" s="1"/>
  <c r="F24" i="5" s="1"/>
  <c r="N39" i="4"/>
  <c r="Q31" i="4"/>
  <c r="P31" i="4"/>
  <c r="O31" i="4"/>
  <c r="N31" i="4"/>
  <c r="V33" i="4"/>
  <c r="W33" i="4" s="1"/>
  <c r="X33" i="4" s="1"/>
  <c r="Y33" i="4" s="1"/>
  <c r="P35" i="4"/>
  <c r="O35" i="4"/>
  <c r="N35" i="4"/>
  <c r="Q35" i="4"/>
  <c r="R22" i="4"/>
  <c r="V35" i="4"/>
  <c r="W35" i="4" s="1"/>
  <c r="X35" i="4" s="1"/>
  <c r="Y35" i="4" s="1"/>
  <c r="V36" i="4"/>
  <c r="W36" i="4" s="1"/>
  <c r="X36" i="4" s="1"/>
  <c r="Z36" i="4" s="1"/>
  <c r="V30" i="4"/>
  <c r="W30" i="4" s="1"/>
  <c r="X30" i="4" s="1"/>
  <c r="AA30" i="4" s="1"/>
  <c r="V34" i="4"/>
  <c r="W34" i="4" s="1"/>
  <c r="X34" i="4" s="1"/>
  <c r="Z34" i="4" s="1"/>
  <c r="V31" i="4"/>
  <c r="W31" i="4" s="1"/>
  <c r="X31" i="4" s="1"/>
  <c r="Z31" i="4" s="1"/>
  <c r="K42" i="4"/>
  <c r="K43" i="4" s="1"/>
  <c r="V21" i="4"/>
  <c r="W21" i="4" s="1"/>
  <c r="L42" i="4"/>
  <c r="L43" i="4" s="1"/>
  <c r="V23" i="4"/>
  <c r="W23" i="4" s="1"/>
  <c r="X23" i="4" s="1"/>
  <c r="V29" i="4"/>
  <c r="W29" i="4" s="1"/>
  <c r="X29" i="4" s="1"/>
  <c r="V39" i="4"/>
  <c r="W39" i="4" s="1"/>
  <c r="X39" i="4" s="1"/>
  <c r="V22" i="4"/>
  <c r="W22" i="4" s="1"/>
  <c r="X22" i="4" s="1"/>
  <c r="V24" i="4"/>
  <c r="W24" i="4" s="1"/>
  <c r="X24" i="4" s="1"/>
  <c r="AA24" i="4" s="1"/>
  <c r="T17" i="3"/>
  <c r="S17" i="3"/>
  <c r="R17" i="3"/>
  <c r="V28" i="4"/>
  <c r="W28" i="4" s="1"/>
  <c r="X28" i="4" s="1"/>
  <c r="AA28" i="4" s="1"/>
  <c r="R22" i="3"/>
  <c r="Q32" i="3"/>
  <c r="Q17" i="3"/>
  <c r="V38" i="4"/>
  <c r="W38" i="4" s="1"/>
  <c r="X38" i="4" s="1"/>
  <c r="AA38" i="4" s="1"/>
  <c r="S29" i="3"/>
  <c r="T22" i="3"/>
  <c r="T20" i="3"/>
  <c r="T32" i="3"/>
  <c r="S22" i="3"/>
  <c r="R32" i="3"/>
  <c r="R24" i="3"/>
  <c r="R20" i="3"/>
  <c r="T29" i="3"/>
  <c r="R29" i="3"/>
  <c r="R28" i="3"/>
  <c r="T28" i="3"/>
  <c r="Q30" i="3"/>
  <c r="T30" i="3"/>
  <c r="Q24" i="3"/>
  <c r="S33" i="3"/>
  <c r="S24" i="3"/>
  <c r="T33" i="3"/>
  <c r="R33" i="3"/>
  <c r="V25" i="4"/>
  <c r="W25" i="4" s="1"/>
  <c r="X25" i="4" s="1"/>
  <c r="AA25" i="4" s="1"/>
  <c r="S30" i="3"/>
  <c r="V26" i="4"/>
  <c r="W26" i="4" s="1"/>
  <c r="X26" i="4" s="1"/>
  <c r="AA26" i="4" s="1"/>
  <c r="Q19" i="3"/>
  <c r="R30" i="3"/>
  <c r="T24" i="3"/>
  <c r="S19" i="3"/>
  <c r="U34" i="3"/>
  <c r="T19" i="3"/>
  <c r="AA37" i="4"/>
  <c r="Z37" i="4"/>
  <c r="Y37" i="4"/>
  <c r="F12" i="5"/>
  <c r="U31" i="3"/>
  <c r="U35" i="3"/>
  <c r="U21" i="3"/>
  <c r="U18" i="3"/>
  <c r="U25" i="3"/>
  <c r="U27" i="3"/>
  <c r="U23" i="3"/>
  <c r="F22" i="5"/>
  <c r="U26" i="3"/>
  <c r="R25" i="4" l="1"/>
  <c r="F10" i="5" s="1"/>
  <c r="R38" i="4"/>
  <c r="R29" i="4"/>
  <c r="F14" i="5" s="1"/>
  <c r="Z33" i="4"/>
  <c r="R35" i="4"/>
  <c r="F20" i="5" s="1"/>
  <c r="R36" i="4"/>
  <c r="F21" i="5" s="1"/>
  <c r="R23" i="4"/>
  <c r="F8" i="5" s="1"/>
  <c r="R31" i="4"/>
  <c r="F16" i="5" s="1"/>
  <c r="R26" i="4"/>
  <c r="F11" i="5" s="1"/>
  <c r="R24" i="4"/>
  <c r="R21" i="4"/>
  <c r="F6" i="5" s="1"/>
  <c r="R30" i="4"/>
  <c r="AA33" i="4"/>
  <c r="AB33" i="4" s="1"/>
  <c r="AC33" i="4" s="1"/>
  <c r="AD33" i="4" s="1"/>
  <c r="S33" i="4" s="1"/>
  <c r="G18" i="5" s="1"/>
  <c r="R32" i="4"/>
  <c r="F17" i="5" s="1"/>
  <c r="Z30" i="4"/>
  <c r="AA36" i="4"/>
  <c r="Y30" i="4"/>
  <c r="L44" i="4"/>
  <c r="AA31" i="4"/>
  <c r="Y31" i="4"/>
  <c r="Z35" i="4"/>
  <c r="AA35" i="4"/>
  <c r="AA34" i="4"/>
  <c r="Y34" i="4"/>
  <c r="Y36" i="4"/>
  <c r="Y29" i="4"/>
  <c r="Z29" i="4"/>
  <c r="AA29" i="4"/>
  <c r="Y23" i="4"/>
  <c r="AA23" i="4"/>
  <c r="Z23" i="4"/>
  <c r="AA39" i="4"/>
  <c r="Z39" i="4"/>
  <c r="Y39" i="4"/>
  <c r="Z22" i="4"/>
  <c r="Y22" i="4"/>
  <c r="AA22" i="4"/>
  <c r="F13" i="5"/>
  <c r="F9" i="5"/>
  <c r="Z24" i="4"/>
  <c r="Y24" i="4"/>
  <c r="F7" i="5"/>
  <c r="Y38" i="4"/>
  <c r="U20" i="3"/>
  <c r="Y28" i="4"/>
  <c r="Z28" i="4"/>
  <c r="U17" i="3"/>
  <c r="F23" i="5"/>
  <c r="Z38" i="4"/>
  <c r="U22" i="3"/>
  <c r="U28" i="3"/>
  <c r="U29" i="3"/>
  <c r="U32" i="3"/>
  <c r="Z26" i="4"/>
  <c r="U24" i="3"/>
  <c r="X21" i="4"/>
  <c r="U30" i="3"/>
  <c r="Z25" i="4"/>
  <c r="U33" i="3"/>
  <c r="Y25" i="4"/>
  <c r="F15" i="5"/>
  <c r="Y26" i="4"/>
  <c r="U19" i="3"/>
  <c r="F19" i="5"/>
  <c r="G12" i="5"/>
  <c r="AB37" i="4"/>
  <c r="AC37" i="4" s="1"/>
  <c r="AD37" i="4" s="1"/>
  <c r="S37" i="4" s="1"/>
  <c r="G22" i="5" s="1"/>
  <c r="AA21" i="4" l="1"/>
  <c r="Y21" i="4"/>
  <c r="AB34" i="4"/>
  <c r="AC34" i="4" s="1"/>
  <c r="AD34" i="4" s="1"/>
  <c r="S34" i="4" s="1"/>
  <c r="G19" i="5" s="1"/>
  <c r="AB30" i="4"/>
  <c r="AC30" i="4" s="1"/>
  <c r="AD30" i="4" s="1"/>
  <c r="S30" i="4" s="1"/>
  <c r="G15" i="5" s="1"/>
  <c r="AB36" i="4"/>
  <c r="AC36" i="4" s="1"/>
  <c r="AD36" i="4" s="1"/>
  <c r="S36" i="4" s="1"/>
  <c r="G21" i="5" s="1"/>
  <c r="AB35" i="4"/>
  <c r="AC35" i="4" s="1"/>
  <c r="AD35" i="4" s="1"/>
  <c r="S35" i="4" s="1"/>
  <c r="G20" i="5" s="1"/>
  <c r="AB31" i="4"/>
  <c r="AC31" i="4" s="1"/>
  <c r="AD31" i="4" s="1"/>
  <c r="S31" i="4" s="1"/>
  <c r="G16" i="5" s="1"/>
  <c r="AB23" i="4"/>
  <c r="AC23" i="4" s="1"/>
  <c r="AD23" i="4" s="1"/>
  <c r="S23" i="4" s="1"/>
  <c r="G8" i="5" s="1"/>
  <c r="AB22" i="4"/>
  <c r="AC22" i="4" s="1"/>
  <c r="AD22" i="4" s="1"/>
  <c r="AB39" i="4"/>
  <c r="AC39" i="4" s="1"/>
  <c r="AD39" i="4" s="1"/>
  <c r="S39" i="4" s="1"/>
  <c r="G24" i="5" s="1"/>
  <c r="AB29" i="4"/>
  <c r="AC29" i="4" s="1"/>
  <c r="AD29" i="4" s="1"/>
  <c r="S29" i="4" s="1"/>
  <c r="G14" i="5" s="1"/>
  <c r="AB24" i="4"/>
  <c r="AC24" i="4" s="1"/>
  <c r="AD24" i="4" s="1"/>
  <c r="S24" i="4" s="1"/>
  <c r="G9" i="5" s="1"/>
  <c r="AB38" i="4"/>
  <c r="AC38" i="4" s="1"/>
  <c r="AD38" i="4" s="1"/>
  <c r="S38" i="4" s="1"/>
  <c r="G23" i="5" s="1"/>
  <c r="AB26" i="4"/>
  <c r="AC26" i="4" s="1"/>
  <c r="AD26" i="4" s="1"/>
  <c r="S26" i="4" s="1"/>
  <c r="G11" i="5" s="1"/>
  <c r="AB28" i="4"/>
  <c r="AC28" i="4" s="1"/>
  <c r="AD28" i="4" s="1"/>
  <c r="S28" i="4" s="1"/>
  <c r="G13" i="5" s="1"/>
  <c r="Z21" i="4"/>
  <c r="AB25" i="4"/>
  <c r="AC25" i="4" s="1"/>
  <c r="AD25" i="4" s="1"/>
  <c r="S25" i="4" s="1"/>
  <c r="G10" i="5" s="1"/>
  <c r="AB21" i="4" l="1"/>
  <c r="S22" i="4"/>
  <c r="G7" i="5" s="1"/>
  <c r="AC21" i="4"/>
  <c r="AD21" i="4" s="1"/>
  <c r="S21" i="4" s="1"/>
  <c r="G6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C3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Rd 2024 per 2026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C2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Lordo 2024 - TABELLA PRAGMOS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Lordo 2024- TABELLA PRAGMOS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RT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Costi standard - simultatore 2026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C27" authorId="0" shapeId="0" xr:uid="{6F6D8A93-F9D7-4724-93D5-797F55F0447F}">
      <text>
        <r>
          <rPr>
            <b/>
            <sz val="9"/>
            <color indexed="81"/>
            <rFont val="Tahoma"/>
            <family val="2"/>
          </rPr>
          <t>Lordo 2024 - TABELLA PRAGMOS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47A48242-19E7-42C7-9C7A-58B3674086DC}">
      <text>
        <r>
          <rPr>
            <b/>
            <sz val="9"/>
            <color indexed="81"/>
            <rFont val="Tahoma"/>
            <family val="2"/>
          </rPr>
          <t>Lordo 2024- TABELLA PRAGMOS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7" authorId="0" shapeId="0" xr:uid="{82C7C9F2-676A-45F3-8EEF-B3994E8031FA}">
      <text>
        <r>
          <rPr>
            <b/>
            <sz val="9"/>
            <color indexed="81"/>
            <rFont val="Tahoma"/>
            <family val="2"/>
          </rPr>
          <t>RT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7" authorId="0" shapeId="0" xr:uid="{2B4A8A1C-B7C7-43C5-9D81-110FF2746FC6}">
      <text>
        <r>
          <rPr>
            <b/>
            <sz val="9"/>
            <color indexed="81"/>
            <rFont val="Tahoma"/>
            <family val="2"/>
          </rPr>
          <t>Costi standard - simultatore 2026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K3" authorId="0" shapeId="0" xr:uid="{2E2D4106-0A8F-4EEF-91EB-5568059A59D9}">
      <text>
        <r>
          <rPr>
            <b/>
            <sz val="9"/>
            <color indexed="81"/>
            <rFont val="Tahoma"/>
            <family val="2"/>
          </rPr>
          <t>Quantita di imballaggi conferiti</t>
        </r>
      </text>
    </comment>
    <comment ref="M3" authorId="0" shapeId="0" xr:uid="{D9C66190-A245-4609-9EA8-48C97618DA6D}">
      <text>
        <r>
          <rPr>
            <b/>
            <sz val="9"/>
            <color indexed="81"/>
            <rFont val="Tahoma"/>
            <family val="2"/>
          </rPr>
          <t>Quantita di imballaggi raccolta</t>
        </r>
      </text>
    </comment>
    <comment ref="K29" authorId="0" shapeId="0" xr:uid="{8A1F0D4B-4ABE-4A0F-8B48-DCD950E7F7B0}">
      <text>
        <r>
          <rPr>
            <b/>
            <sz val="9"/>
            <color indexed="81"/>
            <rFont val="Tahoma"/>
            <family val="2"/>
          </rPr>
          <t xml:space="preserve">Somma dei corrispwttivi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9" authorId="0" shapeId="0" xr:uid="{03DA1D69-0E48-465C-8D4D-12D9884A7ADF}">
      <text>
        <r>
          <rPr>
            <b/>
            <sz val="9"/>
            <color indexed="81"/>
            <rFont val="Tahoma"/>
            <family val="2"/>
          </rPr>
          <t>Totale massimo incassbile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M4" authorId="0" shapeId="0" xr:uid="{8DF26DC7-7872-4F82-B1E7-204E2EAA6B76}">
      <text>
        <r>
          <rPr>
            <b/>
            <sz val="9"/>
            <color indexed="81"/>
            <rFont val="Tahoma"/>
            <family val="2"/>
          </rPr>
          <t>Quantita di frazione umida espressa in tonnellate al netto degli imballaggi in biopalstica</t>
        </r>
      </text>
    </comment>
    <comment ref="O4" authorId="0" shapeId="0" xr:uid="{826274B1-DB38-4C1C-B080-51AED021B89C}">
      <text>
        <r>
          <rPr>
            <b/>
            <sz val="9"/>
            <color indexed="81"/>
            <rFont val="Tahoma"/>
            <family val="2"/>
          </rPr>
          <t>Non ci sono processi di essicazione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1" authorId="0" shapeId="0" xr:uid="{E6989F3E-2CD6-4346-850C-91E5A0433FF3}">
      <text>
        <r>
          <rPr>
            <b/>
            <sz val="9"/>
            <color indexed="81"/>
            <rFont val="Tahoma"/>
            <family val="2"/>
          </rPr>
          <t>% Materiale non compatible MNC - 6 analisi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1" authorId="0" shapeId="0" xr:uid="{79852C03-237D-499A-9C3E-755B824D93E0}">
      <text>
        <r>
          <rPr>
            <b/>
            <sz val="9"/>
            <color indexed="81"/>
            <rFont val="Tahoma"/>
            <family val="2"/>
          </rPr>
          <t>Numero manalisi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merceologiche</t>
        </r>
      </text>
    </comment>
    <comment ref="N54" authorId="0" shapeId="0" xr:uid="{F16E4079-A6DA-4AFB-A831-1135C4CE9D8B}">
      <text>
        <r>
          <rPr>
            <b/>
            <sz val="9"/>
            <color indexed="81"/>
            <rFont val="Tahoma"/>
            <family val="2"/>
          </rPr>
          <t>Qualita racxcolta differenziata frazione organica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4" authorId="0" shapeId="0" xr:uid="{94D304EA-C39D-4C29-92D7-C0219EB68761}">
      <text>
        <r>
          <rPr>
            <b/>
            <sz val="9"/>
            <color indexed="81"/>
            <rFont val="Tahoma"/>
            <family val="2"/>
          </rPr>
          <t>Qualita racxcolta differenziata frazione organica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D7" authorId="0" shapeId="0" xr:uid="{C5404FCE-C320-4E56-A063-4773781E6829}">
      <text>
        <r>
          <rPr>
            <b/>
            <sz val="9"/>
            <color indexed="81"/>
            <rFont val="Tahoma"/>
            <family val="2"/>
          </rPr>
          <t>Qualita racxcolta differenziata frazione organica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" authorId="0" shapeId="0" xr:uid="{5C3D44AC-E3CF-4E39-8E54-8BEEC0363851}">
      <text>
        <r>
          <rPr>
            <b/>
            <sz val="9"/>
            <color indexed="81"/>
            <rFont val="Tahoma"/>
            <family val="2"/>
          </rPr>
          <t>Qualita racxcolta differenziata frazione organica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<sst xmlns="http://schemas.openxmlformats.org/spreadsheetml/2006/main" count="322" uniqueCount="117">
  <si>
    <t>Y1a</t>
  </si>
  <si>
    <t>Y2a</t>
  </si>
  <si>
    <t>Valutazione soddisfacente</t>
  </si>
  <si>
    <t>Valutazione non soddisfacente</t>
  </si>
  <si>
    <t>Rispetto obiettivi di raccolta differenziata raggiunti</t>
  </si>
  <si>
    <t>Efficacia delle attività di preparazione per il riutilizzo e il riciclo</t>
  </si>
  <si>
    <t>% Obiettivi comunitari</t>
  </si>
  <si>
    <t>% Raccolta 
differenziata conseguita</t>
  </si>
  <si>
    <t>Valutazione 
soddisfacente</t>
  </si>
  <si>
    <t>Valutazione 
non soddisfacente</t>
  </si>
  <si>
    <t>Differenziale</t>
  </si>
  <si>
    <t>Massimo</t>
  </si>
  <si>
    <t>Minimo</t>
  </si>
  <si>
    <t>BEINASCO</t>
  </si>
  <si>
    <t>BRUINO</t>
  </si>
  <si>
    <t>CANDIOLO</t>
  </si>
  <si>
    <t>CARIGNANO</t>
  </si>
  <si>
    <t>CASTAGNOLE PIEMONTE</t>
  </si>
  <si>
    <t>LA LOGGIA</t>
  </si>
  <si>
    <t>LOMBRIASCO</t>
  </si>
  <si>
    <t>MONCALIERI</t>
  </si>
  <si>
    <t>NICHELINO</t>
  </si>
  <si>
    <t>ORBASSANO</t>
  </si>
  <si>
    <t>OSASIO</t>
  </si>
  <si>
    <t>PANCALIERI</t>
  </si>
  <si>
    <t>PIOBESI TORINESE</t>
  </si>
  <si>
    <t>PIOSSASCO</t>
  </si>
  <si>
    <t>RIVALTA DI TORINO</t>
  </si>
  <si>
    <t>TROFARELLO</t>
  </si>
  <si>
    <t>VILLASTELLONE</t>
  </si>
  <si>
    <t>VINOVO</t>
  </si>
  <si>
    <t>VIRLE PIEMONTE</t>
  </si>
  <si>
    <t>% Obiettivi</t>
  </si>
  <si>
    <t>Rispetto obiettivi di raccolta differenziata raggiunti
differenziata avviata a recupero</t>
  </si>
  <si>
    <t>Livello di qualità ambientale delle prestazioni</t>
  </si>
  <si>
    <t>Ya</t>
  </si>
  <si>
    <t>(1 + Ya)</t>
  </si>
  <si>
    <t>Cueff a-2</t>
  </si>
  <si>
    <t>TV</t>
  </si>
  <si>
    <t>TF</t>
  </si>
  <si>
    <t>Xa</t>
  </si>
  <si>
    <t>0,3 &lt; Xa &lt;= 0,5 %</t>
  </si>
  <si>
    <t>0,1 &lt; Xa &lt;= 0,3 %</t>
  </si>
  <si>
    <t>Xa = 0,1 %</t>
  </si>
  <si>
    <t>q (t/anno)</t>
  </si>
  <si>
    <t>Valore prescelto</t>
  </si>
  <si>
    <t>x</t>
  </si>
  <si>
    <t>EFF RD_sc</t>
  </si>
  <si>
    <t>/</t>
  </si>
  <si>
    <t>Qa conf</t>
  </si>
  <si>
    <t>Qa RD</t>
  </si>
  <si>
    <t>Efficacia AVVicRD sc
differenziata avviata a recupero</t>
  </si>
  <si>
    <t>sharing ba</t>
  </si>
  <si>
    <t>𝐸𝑓𝑓𝑖𝑐𝑎𝑐𝑖𝑎𝐴𝑣𝑣_𝑅𝐼𝐶𝑅𝐷_𝐹𝑂𝑎</t>
  </si>
  <si>
    <t>𝐴𝑣𝑣_𝑟𝑖𝑐𝑅𝐷_𝐹𝑂𝑎</t>
  </si>
  <si>
    <t>𝑄𝐿𝑇𝑅𝐷_𝐹𝑂</t>
  </si>
  <si>
    <t>X</t>
  </si>
  <si>
    <t>𝑄𝐿𝑇𝑅𝐷_𝐹𝑂𝑎</t>
  </si>
  <si>
    <t>Σ𝑀𝑁𝐶𝑖,𝑗</t>
  </si>
  <si>
    <t>𝑛𝑎</t>
  </si>
  <si>
    <t>𝐴𝑣𝑣_𝑟𝑖𝑐𝑅𝐷_𝐹𝑂</t>
  </si>
  <si>
    <t>𝑄𝑎𝑣𝑣_𝑟𝑖𝑐𝑅𝐷_𝐹𝑂,𝐹𝑈</t>
  </si>
  <si>
    <t>𝑄𝑅𝐷_𝐹𝑂,𝐹𝑈</t>
  </si>
  <si>
    <t>𝐸𝑓𝑓𝑖𝑐𝑎𝑐𝑖𝑎𝐴𝑣𝑣_𝑅𝐼𝐶𝑅𝐷_𝑆𝐶,𝑠𝑖</t>
  </si>
  <si>
    <t>𝐸𝑓𝑓𝑅𝐷_𝑆𝐶,𝑠𝑖𝑎</t>
  </si>
  <si>
    <t>𝑄𝐿𝑇𝑅𝐷_𝑆𝐶,𝑠𝑖</t>
  </si>
  <si>
    <t>𝑄𝐿𝑇𝑅𝐷_𝑆𝐶,𝑠𝑖𝑎</t>
  </si>
  <si>
    <t>𝐴𝑅𝑆𝐶,𝑠𝑖</t>
  </si>
  <si>
    <t>𝐴𝑅𝑚𝑎𝑥_𝑆𝐶,𝑠𝑖</t>
  </si>
  <si>
    <t>1. PERCENTUALE MNC RILEVATO NELLA RACCOLTA DEI RIFIUTI ORGANICI.</t>
  </si>
  <si>
    <t>La raccolta totale per il 2025 risulta di 16127,44 tonnellate delle quali 146,76 sono di rifiuti di imballaggio in bioplastica (lo 0,91% della raccolta).</t>
  </si>
  <si>
    <t>Ti allego le analisi qualitative relative alle 2 campagne (3 analisi ciascuna) svolte da BIOREPACK nel 2025 presso la piattaforma ACEA PINEROLESE INDUSTRIALE.</t>
  </si>
  <si>
    <t>La percentuale media del MNC rilevata è stata del 8,01%.</t>
  </si>
  <si>
    <t>2. CONTRIBUTI CONAI E ALTRI RICAVI PER I RIFIUTI DI IMBALLAGGIO.</t>
  </si>
  <si>
    <t>I contributi riconosciuti dai consorzi di filiera (BIOREPACK escluso) e TEKNOSERVICE per l'anno 2025 sono stati complessivamente di € 3.718.722,47.</t>
  </si>
  <si>
    <t>Analogamente a quanto fatto la volta scorsa, considereremo che:</t>
  </si>
  <si>
    <t>a) se tutte le analisi svolte da COREVE fossero state di fascia A, avremmo realizzato ulteriori € 104.814,49 (da € 543.580,83 a € 648.395,32);</t>
  </si>
  <si>
    <t>b) se anche per i mesi di settembre e ottobre COMIECO avesse riconosciuto, per la raccolta selettiva, il contributo al 100% (invece che al 75%), avremmo realizzato ulteriori € 20.361,33.</t>
  </si>
  <si>
    <t>Pertanto, rispetto a quanto avremmo potuto ipoteticamente realizzare (€ 3.843.898,29), quanto corrisposto risulta essere il 96,74% circa.</t>
  </si>
  <si>
    <t>Le cifre sono IVA esclusa.</t>
  </si>
  <si>
    <t>R1</t>
  </si>
  <si>
    <t>R2</t>
  </si>
  <si>
    <t>MEDIA</t>
  </si>
  <si>
    <t>Delibera 397 art 3.4</t>
  </si>
  <si>
    <t>diff qualitativo</t>
  </si>
  <si>
    <t>dii tra i 2 preced</t>
  </si>
  <si>
    <t>% diff preced</t>
  </si>
  <si>
    <t>diff benchmarking</t>
  </si>
  <si>
    <t>&gt;0,5</t>
  </si>
  <si>
    <t>scelta Covar valore più basso perché valorizza di  più i comuni</t>
  </si>
  <si>
    <t>scelta nel range di scelta covar  -0,3 e 0,101 più vai verso lo 0.1 e più è avanzato, occorrerebbe essere più vicini allo 0,3</t>
  </si>
  <si>
    <t>Benchmark</t>
  </si>
  <si>
    <t>Cueff a-2/Benchmark</t>
  </si>
  <si>
    <t>miglioramento III quadro TQRF               (1 + Ya)</t>
  </si>
  <si>
    <t>Ya =Y1a+Y2a</t>
  </si>
  <si>
    <t xml:space="preserve"> Ka &lt;= 3 %</t>
  </si>
  <si>
    <t>Ka &lt;= 5 %</t>
  </si>
  <si>
    <t>Ka &lt;= 7 %</t>
  </si>
  <si>
    <t>Xregb</t>
  </si>
  <si>
    <t>Xregc)</t>
  </si>
  <si>
    <t>comune</t>
  </si>
  <si>
    <t>Xregd)</t>
  </si>
  <si>
    <t>Xrega)</t>
  </si>
  <si>
    <t>Xcom a,b,c,d)</t>
  </si>
  <si>
    <t>Ka</t>
  </si>
  <si>
    <t xml:space="preserve">Covar 14 </t>
  </si>
  <si>
    <t>gestore Teknoservice</t>
  </si>
  <si>
    <t>Pegaso 03 srl</t>
  </si>
  <si>
    <t>∑</t>
  </si>
  <si>
    <t xml:space="preserve">Cueff a-2 </t>
  </si>
  <si>
    <t>q (t/anno 2024)</t>
  </si>
  <si>
    <t>ok</t>
  </si>
  <si>
    <t>OK</t>
  </si>
  <si>
    <t xml:space="preserve">ART 5 </t>
  </si>
  <si>
    <t>COEFFICIENTE DI POTENZIAMENTO DEL SERVIZIO</t>
  </si>
  <si>
    <t>TV 2024</t>
  </si>
  <si>
    <t>ART 6 ALLEG. A DEL 397/2025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</si>
</sst>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.00\ _€_-;\-* #,##0.00\ _€_-;_-* &quot;-&quot;??\ _€_-;_-@_-"/>
    <numFmt numFmtId="165" formatCode="_-* #,##0.00\ [$€-410]_-;\-* #,##0.00\ [$€-410]_-;_-* &quot;-&quot;??\ [$€-410]_-;_-@_-"/>
    <numFmt numFmtId="166" formatCode="0.0%"/>
    <numFmt numFmtId="167" formatCode="_-* #,##0.0000\ _€_-;\-* #,##0.0000\ _€_-;_-* &quot;-&quot;??\ _€_-;_-@_-"/>
    <numFmt numFmtId="168" formatCode="_-* #,##0.00000\ _€_-;\-* #,##0.00000\ _€_-;_-* &quot;-&quot;??\ _€_-;_-@_-"/>
    <numFmt numFmtId="169" formatCode="_-* #,##0.000\ _€_-;\-* #,##0.000\ _€_-;_-* &quot;-&quot;??\ _€_-;_-@_-"/>
    <numFmt numFmtId="170" formatCode="_-* #,##0.00000000\ _€_-;\-* #,##0.00000000\ _€_-;_-* &quot;-&quot;??\ _€_-;_-@_-"/>
    <numFmt numFmtId="171" formatCode="_-* #,##0.000000000\ _€_-;\-* #,##0.000000000\ _€_-;_-* &quot;-&quot;??\ _€_-;_-@_-"/>
    <numFmt numFmtId="172" formatCode="0.000"/>
    <numFmt numFmtId="173" formatCode="_-* #,##0\ _€_-;\-* #,##0\ _€_-;_-* &quot;-&quot;??\ _€_-;_-@_-"/>
    <numFmt numFmtId="174" formatCode="0.0000%"/>
    <numFmt numFmtId="175" formatCode="0.00000%"/>
    <numFmt numFmtId="176" formatCode="_-* #,##0.000\ [$€-410]_-;\-* #,##0.000\ [$€-410]_-;_-* &quot;-&quot;??\ [$€-410]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202122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ptos Narrow"/>
      <family val="2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9" fontId="4" fillId="3" borderId="1" xfId="1" applyFont="1" applyFill="1" applyBorder="1" applyAlignment="1">
      <alignment vertical="center"/>
    </xf>
    <xf numFmtId="9" fontId="0" fillId="3" borderId="1" xfId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8" fillId="3" borderId="1" xfId="2" applyFont="1" applyFill="1" applyBorder="1" applyAlignment="1">
      <alignment vertical="center"/>
    </xf>
    <xf numFmtId="164" fontId="6" fillId="3" borderId="1" xfId="2" applyFont="1" applyFill="1" applyBorder="1" applyAlignment="1">
      <alignment vertical="center"/>
    </xf>
    <xf numFmtId="164" fontId="10" fillId="3" borderId="1" xfId="2" applyFont="1" applyFill="1" applyBorder="1" applyAlignment="1">
      <alignment vertical="center"/>
    </xf>
    <xf numFmtId="164" fontId="4" fillId="3" borderId="1" xfId="2" applyFont="1" applyFill="1" applyBorder="1" applyAlignment="1">
      <alignment vertical="center"/>
    </xf>
    <xf numFmtId="164" fontId="0" fillId="0" borderId="1" xfId="2" applyFont="1" applyFill="1" applyBorder="1" applyAlignment="1">
      <alignment vertical="center"/>
    </xf>
    <xf numFmtId="164" fontId="4" fillId="0" borderId="1" xfId="2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11" fillId="3" borderId="1" xfId="2" applyFont="1" applyFill="1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vertical="center"/>
    </xf>
    <xf numFmtId="166" fontId="0" fillId="2" borderId="1" xfId="1" applyNumberFormat="1" applyFont="1" applyFill="1" applyBorder="1" applyAlignment="1">
      <alignment vertical="center"/>
    </xf>
    <xf numFmtId="10" fontId="0" fillId="3" borderId="1" xfId="1" applyNumberFormat="1" applyFont="1" applyFill="1" applyBorder="1" applyAlignment="1">
      <alignment vertical="center"/>
    </xf>
    <xf numFmtId="166" fontId="0" fillId="3" borderId="1" xfId="1" applyNumberFormat="1" applyFont="1" applyFill="1" applyBorder="1" applyAlignment="1">
      <alignment vertical="center"/>
    </xf>
    <xf numFmtId="166" fontId="0" fillId="3" borderId="1" xfId="0" applyNumberFormat="1" applyFill="1" applyBorder="1" applyAlignment="1">
      <alignment vertical="center"/>
    </xf>
    <xf numFmtId="164" fontId="0" fillId="3" borderId="1" xfId="2" applyFont="1" applyFill="1" applyBorder="1" applyAlignment="1">
      <alignment vertical="center"/>
    </xf>
    <xf numFmtId="164" fontId="0" fillId="3" borderId="8" xfId="2" applyFont="1" applyFill="1" applyBorder="1" applyAlignment="1">
      <alignment vertical="center"/>
    </xf>
    <xf numFmtId="164" fontId="2" fillId="3" borderId="14" xfId="2" applyFont="1" applyFill="1" applyBorder="1" applyAlignment="1">
      <alignment vertical="center"/>
    </xf>
    <xf numFmtId="167" fontId="2" fillId="3" borderId="14" xfId="2" applyNumberFormat="1" applyFont="1" applyFill="1" applyBorder="1" applyAlignment="1">
      <alignment vertical="center"/>
    </xf>
    <xf numFmtId="168" fontId="2" fillId="3" borderId="14" xfId="2" applyNumberFormat="1" applyFont="1" applyFill="1" applyBorder="1" applyAlignment="1">
      <alignment vertical="center"/>
    </xf>
    <xf numFmtId="169" fontId="4" fillId="3" borderId="1" xfId="2" applyNumberFormat="1" applyFont="1" applyFill="1" applyBorder="1" applyAlignment="1">
      <alignment vertical="center"/>
    </xf>
    <xf numFmtId="168" fontId="8" fillId="3" borderId="1" xfId="2" applyNumberFormat="1" applyFont="1" applyFill="1" applyBorder="1" applyAlignment="1">
      <alignment vertical="center"/>
    </xf>
    <xf numFmtId="168" fontId="6" fillId="3" borderId="1" xfId="2" applyNumberFormat="1" applyFont="1" applyFill="1" applyBorder="1" applyAlignment="1">
      <alignment vertical="center"/>
    </xf>
    <xf numFmtId="168" fontId="2" fillId="0" borderId="1" xfId="0" applyNumberFormat="1" applyFont="1" applyBorder="1" applyAlignment="1">
      <alignment horizontal="center" vertical="center" wrapText="1"/>
    </xf>
    <xf numFmtId="168" fontId="10" fillId="3" borderId="1" xfId="2" applyNumberFormat="1" applyFont="1" applyFill="1" applyBorder="1" applyAlignment="1">
      <alignment vertical="center"/>
    </xf>
    <xf numFmtId="168" fontId="9" fillId="3" borderId="1" xfId="0" applyNumberFormat="1" applyFont="1" applyFill="1" applyBorder="1" applyAlignment="1">
      <alignment vertical="center"/>
    </xf>
    <xf numFmtId="0" fontId="8" fillId="4" borderId="2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9" fontId="0" fillId="4" borderId="1" xfId="1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5" fillId="4" borderId="3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9" fontId="0" fillId="4" borderId="1" xfId="0" applyNumberForma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10" fontId="0" fillId="3" borderId="1" xfId="1" applyNumberFormat="1" applyFont="1" applyFill="1" applyBorder="1"/>
    <xf numFmtId="10" fontId="14" fillId="3" borderId="1" xfId="0" applyNumberFormat="1" applyFont="1" applyFill="1" applyBorder="1" applyAlignment="1">
      <alignment vertical="center"/>
    </xf>
    <xf numFmtId="10" fontId="14" fillId="3" borderId="1" xfId="1" applyNumberFormat="1" applyFont="1" applyFill="1" applyBorder="1" applyAlignment="1">
      <alignment vertical="center"/>
    </xf>
    <xf numFmtId="9" fontId="0" fillId="2" borderId="1" xfId="1" applyFont="1" applyFill="1" applyBorder="1" applyAlignment="1">
      <alignment horizontal="center" vertical="center" wrapText="1"/>
    </xf>
    <xf numFmtId="169" fontId="4" fillId="0" borderId="1" xfId="2" applyNumberFormat="1" applyFont="1" applyFill="1" applyBorder="1" applyAlignment="1">
      <alignment vertical="center"/>
    </xf>
    <xf numFmtId="170" fontId="8" fillId="3" borderId="1" xfId="2" applyNumberFormat="1" applyFont="1" applyFill="1" applyBorder="1" applyAlignment="1">
      <alignment vertical="center"/>
    </xf>
    <xf numFmtId="167" fontId="6" fillId="3" borderId="1" xfId="2" applyNumberFormat="1" applyFont="1" applyFill="1" applyBorder="1" applyAlignment="1">
      <alignment vertical="center"/>
    </xf>
    <xf numFmtId="166" fontId="4" fillId="3" borderId="1" xfId="1" applyNumberFormat="1" applyFont="1" applyFill="1" applyBorder="1" applyAlignment="1">
      <alignment vertical="center"/>
    </xf>
    <xf numFmtId="10" fontId="4" fillId="3" borderId="1" xfId="1" applyNumberFormat="1" applyFont="1" applyFill="1" applyBorder="1" applyAlignment="1">
      <alignment vertical="center"/>
    </xf>
    <xf numFmtId="171" fontId="4" fillId="3" borderId="1" xfId="2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64" fontId="8" fillId="0" borderId="0" xfId="2" applyFont="1" applyFill="1" applyBorder="1" applyAlignment="1">
      <alignment vertical="center"/>
    </xf>
    <xf numFmtId="164" fontId="6" fillId="0" borderId="0" xfId="2" applyFont="1" applyFill="1" applyBorder="1" applyAlignment="1">
      <alignment vertical="center"/>
    </xf>
    <xf numFmtId="172" fontId="14" fillId="3" borderId="1" xfId="0" applyNumberFormat="1" applyFont="1" applyFill="1" applyBorder="1" applyAlignment="1">
      <alignment vertical="center"/>
    </xf>
    <xf numFmtId="173" fontId="0" fillId="2" borderId="1" xfId="2" applyNumberFormat="1" applyFont="1" applyFill="1" applyBorder="1"/>
    <xf numFmtId="175" fontId="11" fillId="3" borderId="1" xfId="1" applyNumberFormat="1" applyFont="1" applyFill="1" applyBorder="1" applyAlignment="1">
      <alignment vertical="center"/>
    </xf>
    <xf numFmtId="176" fontId="9" fillId="3" borderId="1" xfId="0" applyNumberFormat="1" applyFont="1" applyFill="1" applyBorder="1" applyAlignment="1">
      <alignment vertical="center"/>
    </xf>
    <xf numFmtId="175" fontId="11" fillId="2" borderId="1" xfId="1" applyNumberFormat="1" applyFont="1" applyFill="1" applyBorder="1" applyAlignment="1">
      <alignment vertical="center"/>
    </xf>
    <xf numFmtId="166" fontId="0" fillId="0" borderId="1" xfId="1" applyNumberFormat="1" applyFont="1" applyFill="1" applyBorder="1" applyAlignment="1">
      <alignment vertical="center"/>
    </xf>
    <xf numFmtId="166" fontId="0" fillId="0" borderId="1" xfId="0" applyNumberFormat="1" applyBorder="1" applyAlignment="1">
      <alignment vertical="center"/>
    </xf>
    <xf numFmtId="167" fontId="2" fillId="0" borderId="14" xfId="2" applyNumberFormat="1" applyFont="1" applyFill="1" applyBorder="1" applyAlignment="1">
      <alignment vertical="center"/>
    </xf>
    <xf numFmtId="168" fontId="2" fillId="0" borderId="14" xfId="2" applyNumberFormat="1" applyFont="1" applyFill="1" applyBorder="1" applyAlignment="1">
      <alignment vertical="center"/>
    </xf>
    <xf numFmtId="10" fontId="0" fillId="2" borderId="1" xfId="1" applyNumberFormat="1" applyFont="1" applyFill="1" applyBorder="1" applyAlignment="1">
      <alignment vertical="center"/>
    </xf>
    <xf numFmtId="164" fontId="0" fillId="3" borderId="1" xfId="2" applyFont="1" applyFill="1" applyBorder="1"/>
    <xf numFmtId="165" fontId="0" fillId="4" borderId="1" xfId="0" applyNumberFormat="1" applyFill="1" applyBorder="1"/>
    <xf numFmtId="164" fontId="14" fillId="3" borderId="1" xfId="2" applyFont="1" applyFill="1" applyBorder="1"/>
    <xf numFmtId="164" fontId="14" fillId="3" borderId="1" xfId="1" applyNumberFormat="1" applyFont="1" applyFill="1" applyBorder="1"/>
    <xf numFmtId="172" fontId="14" fillId="3" borderId="1" xfId="0" applyNumberFormat="1" applyFont="1" applyFill="1" applyBorder="1" applyAlignment="1">
      <alignment horizontal="center" vertical="center"/>
    </xf>
    <xf numFmtId="169" fontId="9" fillId="2" borderId="1" xfId="2" applyNumberFormat="1" applyFont="1" applyFill="1" applyBorder="1" applyAlignment="1">
      <alignment vertical="center"/>
    </xf>
    <xf numFmtId="10" fontId="0" fillId="2" borderId="1" xfId="1" applyNumberFormat="1" applyFont="1" applyFill="1" applyBorder="1"/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5" fontId="0" fillId="0" borderId="0" xfId="0" applyNumberFormat="1"/>
    <xf numFmtId="169" fontId="14" fillId="3" borderId="1" xfId="2" applyNumberFormat="1" applyFont="1" applyFill="1" applyBorder="1"/>
    <xf numFmtId="165" fontId="9" fillId="2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5" fillId="3" borderId="1" xfId="2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17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169" fontId="0" fillId="2" borderId="1" xfId="2" applyNumberFormat="1" applyFont="1" applyFill="1" applyBorder="1"/>
    <xf numFmtId="169" fontId="0" fillId="3" borderId="1" xfId="0" applyNumberFormat="1" applyFill="1" applyBorder="1"/>
    <xf numFmtId="10" fontId="0" fillId="0" borderId="0" xfId="1" applyNumberFormat="1" applyFont="1"/>
    <xf numFmtId="167" fontId="0" fillId="0" borderId="0" xfId="0" applyNumberFormat="1"/>
    <xf numFmtId="164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164" fontId="20" fillId="3" borderId="1" xfId="2" applyFont="1" applyFill="1" applyBorder="1" applyAlignment="1">
      <alignment vertical="center"/>
    </xf>
    <xf numFmtId="174" fontId="20" fillId="3" borderId="1" xfId="2" applyNumberFormat="1" applyFont="1" applyFill="1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17" fillId="0" borderId="0" xfId="0" applyFont="1" applyAlignment="1">
      <alignment horizontal="left" vertical="center"/>
    </xf>
  </cellXfs>
  <cellStyles count="3">
    <cellStyle name="Migliaia" xfId="2" builtinId="3"/>
    <cellStyle name="Normale" xfId="0" builtinId="0"/>
    <cellStyle name="Percentuale" xfId="1" builtinId="5"/>
  </cellStyles>
  <dxfs count="0"/>
  <tableStyles count="0" defaultTableStyle="TableStyleMedium9" defaultPivotStyle="PivotStyleLight16"/>
  <colors>
    <mruColors>
      <color rgb="FFCCFFFF"/>
      <color rgb="FFCCFFCC"/>
      <color rgb="FFFFFF99"/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917466</xdr:colOff>
      <xdr:row>22</xdr:row>
      <xdr:rowOff>46262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BD1D0AFF-45E8-4AE0-149C-2F21B4E5E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182880"/>
          <a:ext cx="8316486" cy="3886742"/>
        </a:xfrm>
        <a:prstGeom prst="rect">
          <a:avLst/>
        </a:prstGeom>
      </xdr:spPr>
    </xdr:pic>
    <xdr:clientData/>
  </xdr:twoCellAnchor>
  <xdr:twoCellAnchor editAs="oneCell">
    <xdr:from>
      <xdr:col>8</xdr:col>
      <xdr:colOff>403860</xdr:colOff>
      <xdr:row>0</xdr:row>
      <xdr:rowOff>45720</xdr:rowOff>
    </xdr:from>
    <xdr:to>
      <xdr:col>14</xdr:col>
      <xdr:colOff>1307981</xdr:colOff>
      <xdr:row>8</xdr:row>
      <xdr:rowOff>2103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FA23F913-7D40-1F8E-F5E4-586541F18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94520" y="45720"/>
          <a:ext cx="8249801" cy="1419423"/>
        </a:xfrm>
        <a:prstGeom prst="rect">
          <a:avLst/>
        </a:prstGeom>
      </xdr:spPr>
    </xdr:pic>
    <xdr:clientData/>
  </xdr:twoCellAnchor>
  <xdr:twoCellAnchor editAs="oneCell">
    <xdr:from>
      <xdr:col>9</xdr:col>
      <xdr:colOff>335280</xdr:colOff>
      <xdr:row>8</xdr:row>
      <xdr:rowOff>15240</xdr:rowOff>
    </xdr:from>
    <xdr:to>
      <xdr:col>12</xdr:col>
      <xdr:colOff>1188720</xdr:colOff>
      <xdr:row>26</xdr:row>
      <xdr:rowOff>171278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9A5691FF-E747-F4BB-BE09-99E23213F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92740" y="1478280"/>
          <a:ext cx="4053840" cy="34478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45720</xdr:rowOff>
    </xdr:from>
    <xdr:to>
      <xdr:col>8</xdr:col>
      <xdr:colOff>587899</xdr:colOff>
      <xdr:row>10</xdr:row>
      <xdr:rowOff>63142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9B72827D-C9A0-7BF8-9B0A-059276C17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" y="45720"/>
          <a:ext cx="8306959" cy="19814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388620</xdr:colOff>
      <xdr:row>3</xdr:row>
      <xdr:rowOff>76200</xdr:rowOff>
    </xdr:from>
    <xdr:to>
      <xdr:col>7</xdr:col>
      <xdr:colOff>685800</xdr:colOff>
      <xdr:row>15</xdr:row>
      <xdr:rowOff>106680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6DDA4023-BE6C-4252-96D0-FFD7777FA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8480" y="624840"/>
          <a:ext cx="6278880" cy="2225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10</xdr:col>
      <xdr:colOff>354187</xdr:colOff>
      <xdr:row>3</xdr:row>
      <xdr:rowOff>137256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207FAF8D-0A5F-4863-8B0D-0D18A53FD2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70020" y="0"/>
          <a:ext cx="8078327" cy="68589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5</xdr:col>
      <xdr:colOff>206375</xdr:colOff>
      <xdr:row>20</xdr:row>
      <xdr:rowOff>101600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DF5273A0-63BD-9CA7-2BB1-4FC474A65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2300" y="1066800"/>
          <a:ext cx="6124575" cy="2743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26</xdr:row>
      <xdr:rowOff>160020</xdr:rowOff>
    </xdr:from>
    <xdr:to>
      <xdr:col>7</xdr:col>
      <xdr:colOff>114397</xdr:colOff>
      <xdr:row>39</xdr:row>
      <xdr:rowOff>57594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90538C63-80E5-0FE9-11F3-8DF38C363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4000500"/>
          <a:ext cx="6225637" cy="22750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40</xdr:row>
      <xdr:rowOff>1</xdr:rowOff>
    </xdr:from>
    <xdr:to>
      <xdr:col>6</xdr:col>
      <xdr:colOff>640080</xdr:colOff>
      <xdr:row>45</xdr:row>
      <xdr:rowOff>64829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C9945511-FDDC-AADC-23B0-3BA535750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400801"/>
          <a:ext cx="5951220" cy="979228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46</xdr:row>
      <xdr:rowOff>119415</xdr:rowOff>
    </xdr:from>
    <xdr:to>
      <xdr:col>6</xdr:col>
      <xdr:colOff>822208</xdr:colOff>
      <xdr:row>52</xdr:row>
      <xdr:rowOff>38291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5FDC18ED-5700-FBB3-957A-A3ADDD88F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40" y="7617495"/>
          <a:ext cx="6118108" cy="10161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6</xdr:col>
      <xdr:colOff>792480</xdr:colOff>
      <xdr:row>13</xdr:row>
      <xdr:rowOff>23543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5E6F5785-D404-8505-7BDD-0EB735CB8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"/>
          <a:ext cx="6103620" cy="24009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112842</xdr:rowOff>
    </xdr:from>
    <xdr:to>
      <xdr:col>7</xdr:col>
      <xdr:colOff>685800</xdr:colOff>
      <xdr:row>21</xdr:row>
      <xdr:rowOff>169769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355029CD-3566-AD5D-FBC1-A671158BA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2673162"/>
          <a:ext cx="7025640" cy="13370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0</xdr:rowOff>
    </xdr:from>
    <xdr:to>
      <xdr:col>11</xdr:col>
      <xdr:colOff>114301</xdr:colOff>
      <xdr:row>26</xdr:row>
      <xdr:rowOff>60960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E8158705-035D-0262-BC32-26C639875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6400800"/>
          <a:ext cx="6819900" cy="46329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11</xdr:col>
      <xdr:colOff>838200</xdr:colOff>
      <xdr:row>61</xdr:row>
      <xdr:rowOff>113636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E3896536-042D-4AA1-8088-F3C454E1A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2984480"/>
          <a:ext cx="7543800" cy="20262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11</xdr:col>
      <xdr:colOff>182880</xdr:colOff>
      <xdr:row>47</xdr:row>
      <xdr:rowOff>32009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E0973146-79DF-43CF-858D-4F3C315DD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1338560"/>
          <a:ext cx="6888480" cy="350672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oso\AppData\Local\Temp\notes09A1B5\Conteggi%20sharing%20agg.15-05-26.xlsx" TargetMode="External"/><Relationship Id="rId1" Type="http://schemas.openxmlformats.org/officeDocument/2006/relationships/externalLinkPath" Target="file:///C:\Users\toso\AppData\Local\Temp\notes09A1B5\Conteggi%20sharing%20agg.15-05-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Y1a - Y2a"/>
      <sheetName val="Sharing ba"/>
      <sheetName val="Xa"/>
      <sheetName val="Sintesi"/>
      <sheetName val="Efficacia R1"/>
      <sheetName val="Conteggi R1"/>
      <sheetName val="Efficacia R2"/>
      <sheetName val="Conteggi R2"/>
      <sheetName val="R1+R2"/>
    </sheetNames>
    <sheetDataSet>
      <sheetData sheetId="0" refreshError="1">
        <row r="36">
          <cell r="N36">
            <v>0</v>
          </cell>
          <cell r="P36">
            <v>-0.21897592841628893</v>
          </cell>
        </row>
        <row r="37">
          <cell r="N37">
            <v>-1.1691029944589891E-3</v>
          </cell>
          <cell r="P37">
            <v>0</v>
          </cell>
        </row>
        <row r="38">
          <cell r="N38">
            <v>-2.9929537166936998E-2</v>
          </cell>
          <cell r="P38">
            <v>0</v>
          </cell>
        </row>
        <row r="39">
          <cell r="N39">
            <v>-5.4090540941752994E-2</v>
          </cell>
          <cell r="P39">
            <v>0</v>
          </cell>
        </row>
        <row r="40">
          <cell r="N40">
            <v>-9.0011571032777044E-2</v>
          </cell>
          <cell r="P40">
            <v>0</v>
          </cell>
        </row>
        <row r="41">
          <cell r="N41">
            <v>-0.11896161133513466</v>
          </cell>
          <cell r="P41">
            <v>0</v>
          </cell>
        </row>
        <row r="42">
          <cell r="N42">
            <v>-0.12512825618242029</v>
          </cell>
          <cell r="P42">
            <v>0</v>
          </cell>
        </row>
        <row r="43">
          <cell r="N43">
            <v>-0.18880752396400155</v>
          </cell>
          <cell r="P43">
            <v>0</v>
          </cell>
        </row>
        <row r="44">
          <cell r="N44">
            <v>0</v>
          </cell>
          <cell r="P44">
            <v>-0.25865383203402115</v>
          </cell>
        </row>
        <row r="45">
          <cell r="N45">
            <v>0</v>
          </cell>
          <cell r="P45">
            <v>-0.20875030346804777</v>
          </cell>
        </row>
        <row r="46">
          <cell r="N46">
            <v>-9.9323181632808288E-2</v>
          </cell>
          <cell r="P46">
            <v>0</v>
          </cell>
        </row>
        <row r="47">
          <cell r="N47">
            <v>-0.14690258016038632</v>
          </cell>
          <cell r="P47">
            <v>0</v>
          </cell>
        </row>
        <row r="48">
          <cell r="N48">
            <v>0</v>
          </cell>
          <cell r="P48">
            <v>0</v>
          </cell>
        </row>
        <row r="49">
          <cell r="N49">
            <v>-0.11642516852607161</v>
          </cell>
          <cell r="P49">
            <v>0</v>
          </cell>
        </row>
        <row r="50">
          <cell r="N50">
            <v>-0.10959934528939959</v>
          </cell>
          <cell r="P50">
            <v>0</v>
          </cell>
        </row>
        <row r="51">
          <cell r="N51">
            <v>-5.0254004127075411E-2</v>
          </cell>
          <cell r="P51">
            <v>0</v>
          </cell>
        </row>
        <row r="52">
          <cell r="N52">
            <v>0</v>
          </cell>
          <cell r="P52">
            <v>0</v>
          </cell>
        </row>
        <row r="53">
          <cell r="N53">
            <v>-5.9584271841046817E-2</v>
          </cell>
          <cell r="P53">
            <v>0</v>
          </cell>
        </row>
        <row r="54">
          <cell r="N54">
            <v>-0.12386399326765425</v>
          </cell>
          <cell r="P54">
            <v>0</v>
          </cell>
        </row>
        <row r="64">
          <cell r="N64">
            <v>-3.2564810657360055E-2</v>
          </cell>
          <cell r="P64">
            <v>0</v>
          </cell>
        </row>
        <row r="65">
          <cell r="N65">
            <v>-3.2564810657360055E-2</v>
          </cell>
          <cell r="P65">
            <v>0</v>
          </cell>
        </row>
        <row r="66">
          <cell r="N66">
            <v>-3.2564810657360055E-2</v>
          </cell>
          <cell r="P66">
            <v>0</v>
          </cell>
        </row>
        <row r="67">
          <cell r="N67">
            <v>-3.2564810657360055E-2</v>
          </cell>
          <cell r="P67">
            <v>0</v>
          </cell>
        </row>
        <row r="68">
          <cell r="N68">
            <v>-3.2564810657360055E-2</v>
          </cell>
          <cell r="P68">
            <v>0</v>
          </cell>
        </row>
        <row r="69">
          <cell r="N69">
            <v>-3.2564810657360055E-2</v>
          </cell>
          <cell r="P69">
            <v>0</v>
          </cell>
        </row>
        <row r="70">
          <cell r="N70">
            <v>-3.2564810657360055E-2</v>
          </cell>
          <cell r="P70">
            <v>0</v>
          </cell>
        </row>
        <row r="71">
          <cell r="N71">
            <v>-3.2564810657360055E-2</v>
          </cell>
          <cell r="P71">
            <v>0</v>
          </cell>
        </row>
        <row r="72">
          <cell r="N72">
            <v>-3.2564810657360055E-2</v>
          </cell>
          <cell r="P72">
            <v>0</v>
          </cell>
        </row>
        <row r="73">
          <cell r="N73">
            <v>-3.2564810657360055E-2</v>
          </cell>
          <cell r="P73">
            <v>0</v>
          </cell>
        </row>
        <row r="74">
          <cell r="N74">
            <v>-3.2564810657360055E-2</v>
          </cell>
          <cell r="P74">
            <v>0</v>
          </cell>
        </row>
        <row r="75">
          <cell r="N75">
            <v>-3.2564810657360055E-2</v>
          </cell>
          <cell r="P75">
            <v>0</v>
          </cell>
        </row>
        <row r="76">
          <cell r="N76">
            <v>-3.2564810657360055E-2</v>
          </cell>
          <cell r="P76">
            <v>0</v>
          </cell>
        </row>
        <row r="77">
          <cell r="N77">
            <v>-3.2564810657360055E-2</v>
          </cell>
          <cell r="P77">
            <v>0</v>
          </cell>
        </row>
        <row r="78">
          <cell r="N78">
            <v>-3.2564810657360055E-2</v>
          </cell>
          <cell r="P78">
            <v>0</v>
          </cell>
        </row>
        <row r="79">
          <cell r="N79">
            <v>-3.2564810657360055E-2</v>
          </cell>
          <cell r="P79">
            <v>0</v>
          </cell>
        </row>
        <row r="80">
          <cell r="N80">
            <v>-3.2564810657360055E-2</v>
          </cell>
          <cell r="P80">
            <v>0</v>
          </cell>
        </row>
        <row r="81">
          <cell r="N81">
            <v>-3.2564810657360055E-2</v>
          </cell>
          <cell r="P81">
            <v>0</v>
          </cell>
        </row>
        <row r="82">
          <cell r="N82">
            <v>-3.2564810657360055E-2</v>
          </cell>
          <cell r="P82">
            <v>0</v>
          </cell>
        </row>
      </sheetData>
      <sheetData sheetId="1" refreshError="1">
        <row r="17">
          <cell r="C17">
            <v>-0.21897592841628893</v>
          </cell>
          <cell r="D17">
            <v>-3.2564810657360055E-2</v>
          </cell>
          <cell r="U17">
            <v>0.4</v>
          </cell>
        </row>
        <row r="18">
          <cell r="C18">
            <v>-1.1691029944589891E-3</v>
          </cell>
          <cell r="D18">
            <v>-3.2564810657360055E-2</v>
          </cell>
          <cell r="U18">
            <v>0.2</v>
          </cell>
        </row>
        <row r="19">
          <cell r="C19">
            <v>-2.9929537166936998E-2</v>
          </cell>
          <cell r="D19">
            <v>-3.2564810657360055E-2</v>
          </cell>
          <cell r="U19">
            <v>0.2</v>
          </cell>
        </row>
        <row r="20">
          <cell r="C20">
            <v>-5.4090540941752994E-2</v>
          </cell>
          <cell r="D20">
            <v>-3.2564810657360055E-2</v>
          </cell>
          <cell r="U20">
            <v>0.2</v>
          </cell>
        </row>
        <row r="21">
          <cell r="C21">
            <v>-9.0011571032777044E-2</v>
          </cell>
          <cell r="D21">
            <v>-3.2564810657360055E-2</v>
          </cell>
          <cell r="U21">
            <v>0.2</v>
          </cell>
        </row>
        <row r="22">
          <cell r="C22">
            <v>-0.11896161133513466</v>
          </cell>
          <cell r="D22">
            <v>-3.2564810657360055E-2</v>
          </cell>
          <cell r="U22">
            <v>0.2</v>
          </cell>
        </row>
        <row r="23">
          <cell r="C23">
            <v>-0.12512825618242029</v>
          </cell>
          <cell r="D23">
            <v>-3.2564810657360055E-2</v>
          </cell>
          <cell r="U23">
            <v>0.2</v>
          </cell>
        </row>
        <row r="24">
          <cell r="C24">
            <v>-0.18880752396400155</v>
          </cell>
          <cell r="D24">
            <v>-3.2564810657360055E-2</v>
          </cell>
          <cell r="U24">
            <v>0.2</v>
          </cell>
        </row>
        <row r="25">
          <cell r="C25">
            <v>-0.25865383203402115</v>
          </cell>
          <cell r="D25">
            <v>-3.2564810657360055E-2</v>
          </cell>
          <cell r="U25">
            <v>0.4</v>
          </cell>
        </row>
        <row r="26">
          <cell r="C26">
            <v>-0.20875030346804777</v>
          </cell>
          <cell r="D26">
            <v>-3.2564810657360055E-2</v>
          </cell>
          <cell r="U26">
            <v>0.4</v>
          </cell>
        </row>
        <row r="27">
          <cell r="C27">
            <v>-9.9323181632808288E-2</v>
          </cell>
          <cell r="D27">
            <v>-3.2564810657360055E-2</v>
          </cell>
          <cell r="U27">
            <v>0.2</v>
          </cell>
        </row>
        <row r="28">
          <cell r="C28">
            <v>-0.14690258016038632</v>
          </cell>
          <cell r="D28">
            <v>-3.2564810657360055E-2</v>
          </cell>
          <cell r="U28">
            <v>0.2</v>
          </cell>
        </row>
        <row r="29">
          <cell r="C29">
            <v>0</v>
          </cell>
          <cell r="D29">
            <v>-3.2564810657360055E-2</v>
          </cell>
          <cell r="U29">
            <v>0.2</v>
          </cell>
        </row>
        <row r="30">
          <cell r="C30">
            <v>-0.11642516852607161</v>
          </cell>
          <cell r="D30">
            <v>-3.2564810657360055E-2</v>
          </cell>
          <cell r="U30">
            <v>0.2</v>
          </cell>
        </row>
        <row r="31">
          <cell r="C31">
            <v>-0.10959934528939959</v>
          </cell>
          <cell r="D31">
            <v>-3.2564810657360055E-2</v>
          </cell>
          <cell r="U31">
            <v>0.2</v>
          </cell>
        </row>
        <row r="32">
          <cell r="C32">
            <v>-5.0254004127075411E-2</v>
          </cell>
          <cell r="D32">
            <v>-3.2564810657360055E-2</v>
          </cell>
          <cell r="U32">
            <v>0.2</v>
          </cell>
        </row>
        <row r="33">
          <cell r="C33">
            <v>0</v>
          </cell>
          <cell r="D33">
            <v>-3.2564810657360055E-2</v>
          </cell>
          <cell r="U33">
            <v>0.2</v>
          </cell>
        </row>
        <row r="34">
          <cell r="C34">
            <v>-5.9584271841046817E-2</v>
          </cell>
          <cell r="D34">
            <v>-3.2564810657360055E-2</v>
          </cell>
          <cell r="U34">
            <v>0.2</v>
          </cell>
        </row>
        <row r="35">
          <cell r="C35">
            <v>-0.12386399326765425</v>
          </cell>
          <cell r="D35">
            <v>-3.2564810657360055E-2</v>
          </cell>
          <cell r="U35">
            <v>0.2</v>
          </cell>
        </row>
      </sheetData>
      <sheetData sheetId="2" refreshError="1">
        <row r="43">
          <cell r="Q43" t="str">
            <v>0,1 &lt; Xa &lt;= 0,3 %</v>
          </cell>
        </row>
        <row r="44">
          <cell r="Q44" t="str">
            <v>0,1 &lt; Xa &lt;= 0,3 %</v>
          </cell>
        </row>
        <row r="45">
          <cell r="Q45" t="str">
            <v>0,1 &lt; Xa &lt;= 0,3 %</v>
          </cell>
        </row>
        <row r="46">
          <cell r="Q46" t="str">
            <v>0,1 &lt; Xa &lt;= 0,3 %</v>
          </cell>
        </row>
        <row r="47">
          <cell r="Q47" t="str">
            <v>0,1 &lt; Xa &lt;= 0,3 %</v>
          </cell>
        </row>
        <row r="48">
          <cell r="Q48" t="str">
            <v>0,1 &lt; Xa &lt;= 0,3 %</v>
          </cell>
        </row>
        <row r="49">
          <cell r="Q49" t="str">
            <v>0,1 &lt; Xa &lt;= 0,3 %</v>
          </cell>
        </row>
        <row r="50">
          <cell r="Q50" t="str">
            <v>0,1 &lt; Xa &lt;= 0,3 %</v>
          </cell>
        </row>
        <row r="51">
          <cell r="Q51" t="str">
            <v>0,1 &lt; Xa &lt;= 0,3 %</v>
          </cell>
        </row>
        <row r="52">
          <cell r="Q52" t="str">
            <v>0,1 &lt; Xa &lt;= 0,3 %</v>
          </cell>
        </row>
        <row r="53">
          <cell r="Q53" t="str">
            <v>0,1 &lt; Xa &lt;= 0,3 %</v>
          </cell>
        </row>
        <row r="54">
          <cell r="Q54" t="str">
            <v>Xa = 0,1 %</v>
          </cell>
        </row>
        <row r="55">
          <cell r="Q55" t="str">
            <v>0,1 &lt; Xa &lt;= 0,3 %</v>
          </cell>
        </row>
        <row r="56">
          <cell r="Q56" t="str">
            <v>0,1 &lt; Xa &lt;= 0,3 %</v>
          </cell>
        </row>
        <row r="57">
          <cell r="Q57" t="str">
            <v>0,1 &lt; Xa &lt;= 0,3 %</v>
          </cell>
        </row>
        <row r="58">
          <cell r="Q58" t="str">
            <v>0,1 &lt; Xa &lt;= 0,3 %</v>
          </cell>
        </row>
        <row r="59">
          <cell r="Q59" t="str">
            <v>0,1 &lt; Xa &lt;= 0,3 %</v>
          </cell>
        </row>
        <row r="60">
          <cell r="Q60" t="str">
            <v>0,1 &lt; Xa &lt;= 0,3 %</v>
          </cell>
        </row>
        <row r="61">
          <cell r="Q61" t="str">
            <v>0,1 &lt; Xa &lt;= 0,3 %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8:R82"/>
  <sheetViews>
    <sheetView view="pageBreakPreview" topLeftCell="A61" zoomScale="60" zoomScaleNormal="57" workbookViewId="0">
      <selection activeCell="R41" sqref="R41"/>
    </sheetView>
  </sheetViews>
  <sheetFormatPr defaultColWidth="9.109375" defaultRowHeight="14.4" x14ac:dyDescent="0.3"/>
  <cols>
    <col min="1" max="1" width="9.109375" style="1"/>
    <col min="2" max="2" width="30.109375" style="1" customWidth="1"/>
    <col min="3" max="12" width="15.5546875" style="1" customWidth="1"/>
    <col min="13" max="13" width="29.33203125" style="1" customWidth="1"/>
    <col min="14" max="14" width="15.5546875" style="1" customWidth="1"/>
    <col min="15" max="15" width="30.33203125" style="1" customWidth="1"/>
    <col min="16" max="25" width="15.5546875" style="1" customWidth="1"/>
    <col min="26" max="16384" width="9.109375" style="1"/>
  </cols>
  <sheetData>
    <row r="28" spans="2:13" x14ac:dyDescent="0.3">
      <c r="B28" s="115" t="s">
        <v>4</v>
      </c>
      <c r="C28" s="116"/>
      <c r="D28" s="116"/>
      <c r="E28" s="117"/>
      <c r="F28" s="6"/>
      <c r="G28" s="6"/>
      <c r="H28" s="6"/>
      <c r="I28" s="6"/>
      <c r="J28" s="6"/>
      <c r="K28" s="6"/>
      <c r="L28" s="6"/>
      <c r="M28" s="6"/>
    </row>
    <row r="29" spans="2:13" x14ac:dyDescent="0.3">
      <c r="B29" s="118" t="s">
        <v>0</v>
      </c>
      <c r="C29" s="2"/>
      <c r="D29" s="119" t="s">
        <v>2</v>
      </c>
      <c r="E29" s="119"/>
      <c r="F29" s="7"/>
      <c r="G29" s="7"/>
      <c r="H29" s="7"/>
      <c r="I29" s="7"/>
      <c r="J29" s="7"/>
      <c r="K29" s="7"/>
      <c r="L29" s="7"/>
      <c r="M29" s="7"/>
    </row>
    <row r="30" spans="2:13" x14ac:dyDescent="0.3">
      <c r="B30" s="118"/>
      <c r="D30" s="39">
        <v>-0.19999</v>
      </c>
      <c r="E30" s="40">
        <v>0</v>
      </c>
      <c r="G30" s="6"/>
    </row>
    <row r="31" spans="2:13" x14ac:dyDescent="0.3">
      <c r="B31" s="118"/>
      <c r="C31" s="120" t="s">
        <v>3</v>
      </c>
      <c r="D31" s="121"/>
      <c r="E31" s="3"/>
      <c r="F31" s="8"/>
      <c r="G31" s="8"/>
      <c r="H31" s="8"/>
      <c r="I31" s="8"/>
      <c r="J31" s="8"/>
      <c r="K31" s="8"/>
      <c r="L31" s="8"/>
      <c r="M31" s="8"/>
    </row>
    <row r="32" spans="2:13" x14ac:dyDescent="0.3">
      <c r="B32" s="118"/>
      <c r="C32" s="41">
        <v>-0.4</v>
      </c>
      <c r="D32" s="42">
        <v>-0.2</v>
      </c>
      <c r="E32" s="4"/>
    </row>
    <row r="34" spans="2:18" ht="43.2" x14ac:dyDescent="0.3">
      <c r="C34" s="5" t="s">
        <v>7</v>
      </c>
      <c r="D34" s="5" t="s">
        <v>6</v>
      </c>
      <c r="E34" s="5" t="s">
        <v>10</v>
      </c>
      <c r="F34" s="5" t="s">
        <v>7</v>
      </c>
      <c r="G34" s="5" t="s">
        <v>11</v>
      </c>
      <c r="H34" s="5" t="s">
        <v>12</v>
      </c>
      <c r="I34" s="21"/>
      <c r="J34" s="21"/>
      <c r="K34" s="21"/>
      <c r="L34" s="21"/>
      <c r="M34" s="122" t="s">
        <v>8</v>
      </c>
      <c r="N34" s="123"/>
      <c r="O34" s="113" t="s">
        <v>9</v>
      </c>
      <c r="P34" s="114"/>
    </row>
    <row r="35" spans="2:18" x14ac:dyDescent="0.3">
      <c r="C35" s="5"/>
      <c r="D35" s="5"/>
      <c r="E35" s="43">
        <v>0.15</v>
      </c>
      <c r="F35" s="5"/>
      <c r="G35" s="5"/>
      <c r="H35" s="5"/>
      <c r="I35" s="5"/>
      <c r="J35" s="5"/>
      <c r="K35" s="5"/>
      <c r="L35" s="5"/>
      <c r="M35" s="11"/>
      <c r="N35" s="11"/>
      <c r="O35" s="12"/>
      <c r="P35" s="36"/>
    </row>
    <row r="36" spans="2:18" x14ac:dyDescent="0.3">
      <c r="B36" s="23" t="s">
        <v>13</v>
      </c>
      <c r="C36" s="78">
        <v>0.63576805368778333</v>
      </c>
      <c r="D36" s="43">
        <v>0.65</v>
      </c>
      <c r="E36" s="10">
        <f>$E$35</f>
        <v>0.15</v>
      </c>
      <c r="F36" s="25">
        <f>IF(C36&gt;G36,G36,IF(C36&lt;H36,H36,C36))</f>
        <v>0.63576805368778333</v>
      </c>
      <c r="G36" s="9">
        <f>D36+E36</f>
        <v>0.8</v>
      </c>
      <c r="H36" s="9">
        <f>D36-E36</f>
        <v>0.5</v>
      </c>
      <c r="I36" s="33">
        <f t="shared" ref="I36:I54" si="0">(G36-D36)</f>
        <v>0.15000000000000002</v>
      </c>
      <c r="J36" s="33">
        <f t="shared" ref="J36:J54" si="1">($D$30-$E$30)/I36</f>
        <v>-1.3332666666666664</v>
      </c>
      <c r="K36" s="33">
        <f t="shared" ref="K36:K54" si="2">(H36-D36)</f>
        <v>-0.15000000000000002</v>
      </c>
      <c r="L36" s="33">
        <f t="shared" ref="L36:L54" si="3">($C$32-$D$32)/K36</f>
        <v>1.3333333333333333</v>
      </c>
      <c r="M36" s="13">
        <f t="shared" ref="M36" si="4">IF(F36&gt;=D36,$M$34,0)</f>
        <v>0</v>
      </c>
      <c r="N36" s="34">
        <f t="shared" ref="N36:N45" si="5">IF(F36&gt;=D36,-(F36-G36)*J36,0)</f>
        <v>0</v>
      </c>
      <c r="O36" s="14" t="str">
        <f t="shared" ref="O36" si="6">IF(F36&lt;D36,$O$34,0)</f>
        <v>Valutazione 
non soddisfacente</v>
      </c>
      <c r="P36" s="35">
        <f t="shared" ref="P36:P54" si="7">IF(F36&lt;D36,((F36-H36)*L36)+$C$32,0)</f>
        <v>-0.21897592841628893</v>
      </c>
      <c r="R36" s="1" t="s">
        <v>111</v>
      </c>
    </row>
    <row r="37" spans="2:18" x14ac:dyDescent="0.3">
      <c r="B37" s="23" t="s">
        <v>14</v>
      </c>
      <c r="C37" s="78">
        <v>0.79912312891060133</v>
      </c>
      <c r="D37" s="43">
        <v>0.65</v>
      </c>
      <c r="E37" s="10">
        <f>$E$35</f>
        <v>0.15</v>
      </c>
      <c r="F37" s="25">
        <f t="shared" ref="F37:F54" si="8">IF(C37&gt;G37,G37,IF(C37&lt;H37,H37,C37))</f>
        <v>0.79912312891060133</v>
      </c>
      <c r="G37" s="9">
        <f>D37+E37</f>
        <v>0.8</v>
      </c>
      <c r="H37" s="9">
        <f>D37-E37</f>
        <v>0.5</v>
      </c>
      <c r="I37" s="33">
        <f t="shared" si="0"/>
        <v>0.15000000000000002</v>
      </c>
      <c r="J37" s="33">
        <f t="shared" si="1"/>
        <v>-1.3332666666666664</v>
      </c>
      <c r="K37" s="33">
        <f t="shared" si="2"/>
        <v>-0.15000000000000002</v>
      </c>
      <c r="L37" s="33">
        <f t="shared" si="3"/>
        <v>1.3333333333333333</v>
      </c>
      <c r="M37" s="13" t="str">
        <f t="shared" ref="M37" si="9">IF(F37&gt;=D37,$M$34,0)</f>
        <v>Valutazione 
soddisfacente</v>
      </c>
      <c r="N37" s="34">
        <f t="shared" si="5"/>
        <v>-1.1691029944589891E-3</v>
      </c>
      <c r="O37" s="14">
        <f t="shared" ref="O37" si="10">IF(F37&lt;D37,$O$34,0)</f>
        <v>0</v>
      </c>
      <c r="P37" s="35">
        <f t="shared" si="7"/>
        <v>0</v>
      </c>
    </row>
    <row r="38" spans="2:18" x14ac:dyDescent="0.3">
      <c r="B38" s="23" t="s">
        <v>15</v>
      </c>
      <c r="C38" s="78">
        <v>0.77755172471103284</v>
      </c>
      <c r="D38" s="43">
        <v>0.65</v>
      </c>
      <c r="E38" s="10">
        <f t="shared" ref="E38:E54" si="11">$E$35</f>
        <v>0.15</v>
      </c>
      <c r="F38" s="25">
        <f t="shared" si="8"/>
        <v>0.77755172471103284</v>
      </c>
      <c r="G38" s="9">
        <f t="shared" ref="G38:G44" si="12">D38+E38</f>
        <v>0.8</v>
      </c>
      <c r="H38" s="9">
        <f t="shared" ref="H38:H44" si="13">D38-E38</f>
        <v>0.5</v>
      </c>
      <c r="I38" s="33">
        <f t="shared" si="0"/>
        <v>0.15000000000000002</v>
      </c>
      <c r="J38" s="33">
        <f t="shared" si="1"/>
        <v>-1.3332666666666664</v>
      </c>
      <c r="K38" s="33">
        <f t="shared" si="2"/>
        <v>-0.15000000000000002</v>
      </c>
      <c r="L38" s="33">
        <f t="shared" si="3"/>
        <v>1.3333333333333333</v>
      </c>
      <c r="M38" s="13" t="str">
        <f t="shared" ref="M38:M54" si="14">IF(F38&gt;=D38,$M$34,0)</f>
        <v>Valutazione 
soddisfacente</v>
      </c>
      <c r="N38" s="34">
        <f t="shared" si="5"/>
        <v>-2.9929537166936998E-2</v>
      </c>
      <c r="O38" s="14">
        <f t="shared" ref="O38:O54" si="15">IF(F38&lt;D38,$O$34,0)</f>
        <v>0</v>
      </c>
      <c r="P38" s="35">
        <f t="shared" si="7"/>
        <v>0</v>
      </c>
    </row>
    <row r="39" spans="2:18" x14ac:dyDescent="0.3">
      <c r="B39" s="23" t="s">
        <v>16</v>
      </c>
      <c r="C39" s="78">
        <v>0.75943006579697514</v>
      </c>
      <c r="D39" s="43">
        <v>0.65</v>
      </c>
      <c r="E39" s="10">
        <f t="shared" si="11"/>
        <v>0.15</v>
      </c>
      <c r="F39" s="25">
        <f t="shared" si="8"/>
        <v>0.75943006579697514</v>
      </c>
      <c r="G39" s="9">
        <f t="shared" si="12"/>
        <v>0.8</v>
      </c>
      <c r="H39" s="9">
        <f t="shared" si="13"/>
        <v>0.5</v>
      </c>
      <c r="I39" s="33">
        <f t="shared" si="0"/>
        <v>0.15000000000000002</v>
      </c>
      <c r="J39" s="33">
        <f t="shared" si="1"/>
        <v>-1.3332666666666664</v>
      </c>
      <c r="K39" s="33">
        <f t="shared" si="2"/>
        <v>-0.15000000000000002</v>
      </c>
      <c r="L39" s="33">
        <f t="shared" si="3"/>
        <v>1.3333333333333333</v>
      </c>
      <c r="M39" s="13" t="str">
        <f t="shared" si="14"/>
        <v>Valutazione 
soddisfacente</v>
      </c>
      <c r="N39" s="34">
        <f t="shared" si="5"/>
        <v>-5.4090540941752994E-2</v>
      </c>
      <c r="O39" s="14">
        <f t="shared" si="15"/>
        <v>0</v>
      </c>
      <c r="P39" s="35">
        <f t="shared" si="7"/>
        <v>0</v>
      </c>
    </row>
    <row r="40" spans="2:18" x14ac:dyDescent="0.3">
      <c r="B40" s="23" t="s">
        <v>17</v>
      </c>
      <c r="C40" s="78">
        <v>0.73248794612272339</v>
      </c>
      <c r="D40" s="43">
        <v>0.65</v>
      </c>
      <c r="E40" s="10">
        <f t="shared" si="11"/>
        <v>0.15</v>
      </c>
      <c r="F40" s="25">
        <f t="shared" si="8"/>
        <v>0.73248794612272339</v>
      </c>
      <c r="G40" s="9">
        <f t="shared" si="12"/>
        <v>0.8</v>
      </c>
      <c r="H40" s="9">
        <f t="shared" si="13"/>
        <v>0.5</v>
      </c>
      <c r="I40" s="33">
        <f t="shared" si="0"/>
        <v>0.15000000000000002</v>
      </c>
      <c r="J40" s="33">
        <f t="shared" si="1"/>
        <v>-1.3332666666666664</v>
      </c>
      <c r="K40" s="33">
        <f t="shared" si="2"/>
        <v>-0.15000000000000002</v>
      </c>
      <c r="L40" s="33">
        <f t="shared" si="3"/>
        <v>1.3333333333333333</v>
      </c>
      <c r="M40" s="13" t="str">
        <f t="shared" si="14"/>
        <v>Valutazione 
soddisfacente</v>
      </c>
      <c r="N40" s="34">
        <f t="shared" si="5"/>
        <v>-9.0011571032777044E-2</v>
      </c>
      <c r="O40" s="14">
        <f t="shared" si="15"/>
        <v>0</v>
      </c>
      <c r="P40" s="35">
        <f t="shared" si="7"/>
        <v>0</v>
      </c>
    </row>
    <row r="41" spans="2:18" x14ac:dyDescent="0.3">
      <c r="B41" s="23" t="s">
        <v>18</v>
      </c>
      <c r="C41" s="78">
        <v>0.71077433021515979</v>
      </c>
      <c r="D41" s="43">
        <v>0.65</v>
      </c>
      <c r="E41" s="10">
        <f t="shared" si="11"/>
        <v>0.15</v>
      </c>
      <c r="F41" s="25">
        <f t="shared" si="8"/>
        <v>0.71077433021515979</v>
      </c>
      <c r="G41" s="9">
        <f t="shared" si="12"/>
        <v>0.8</v>
      </c>
      <c r="H41" s="9">
        <f t="shared" si="13"/>
        <v>0.5</v>
      </c>
      <c r="I41" s="33">
        <f t="shared" si="0"/>
        <v>0.15000000000000002</v>
      </c>
      <c r="J41" s="33">
        <f t="shared" si="1"/>
        <v>-1.3332666666666664</v>
      </c>
      <c r="K41" s="33">
        <f t="shared" si="2"/>
        <v>-0.15000000000000002</v>
      </c>
      <c r="L41" s="33">
        <f t="shared" si="3"/>
        <v>1.3333333333333333</v>
      </c>
      <c r="M41" s="13" t="str">
        <f t="shared" si="14"/>
        <v>Valutazione 
soddisfacente</v>
      </c>
      <c r="N41" s="34">
        <f t="shared" si="5"/>
        <v>-0.11896161133513466</v>
      </c>
      <c r="O41" s="14">
        <f t="shared" si="15"/>
        <v>0</v>
      </c>
      <c r="P41" s="35">
        <f t="shared" si="7"/>
        <v>0</v>
      </c>
    </row>
    <row r="42" spans="2:18" x14ac:dyDescent="0.3">
      <c r="B42" s="23" t="s">
        <v>19</v>
      </c>
      <c r="C42" s="78">
        <v>0.70614911531895075</v>
      </c>
      <c r="D42" s="43">
        <v>0.65</v>
      </c>
      <c r="E42" s="10">
        <f t="shared" si="11"/>
        <v>0.15</v>
      </c>
      <c r="F42" s="25">
        <f t="shared" si="8"/>
        <v>0.70614911531895075</v>
      </c>
      <c r="G42" s="9">
        <f t="shared" si="12"/>
        <v>0.8</v>
      </c>
      <c r="H42" s="9">
        <f t="shared" si="13"/>
        <v>0.5</v>
      </c>
      <c r="I42" s="33">
        <f t="shared" si="0"/>
        <v>0.15000000000000002</v>
      </c>
      <c r="J42" s="33">
        <f t="shared" si="1"/>
        <v>-1.3332666666666664</v>
      </c>
      <c r="K42" s="33">
        <f t="shared" si="2"/>
        <v>-0.15000000000000002</v>
      </c>
      <c r="L42" s="33">
        <f t="shared" si="3"/>
        <v>1.3333333333333333</v>
      </c>
      <c r="M42" s="13" t="str">
        <f t="shared" si="14"/>
        <v>Valutazione 
soddisfacente</v>
      </c>
      <c r="N42" s="34">
        <f t="shared" si="5"/>
        <v>-0.12512825618242029</v>
      </c>
      <c r="O42" s="14">
        <f t="shared" si="15"/>
        <v>0</v>
      </c>
      <c r="P42" s="35">
        <f t="shared" si="7"/>
        <v>0</v>
      </c>
    </row>
    <row r="43" spans="2:18" x14ac:dyDescent="0.3">
      <c r="B43" s="23" t="s">
        <v>20</v>
      </c>
      <c r="C43" s="78">
        <v>0.6583872763908184</v>
      </c>
      <c r="D43" s="43">
        <v>0.65</v>
      </c>
      <c r="E43" s="10">
        <f t="shared" si="11"/>
        <v>0.15</v>
      </c>
      <c r="F43" s="25">
        <f t="shared" si="8"/>
        <v>0.6583872763908184</v>
      </c>
      <c r="G43" s="9">
        <f t="shared" si="12"/>
        <v>0.8</v>
      </c>
      <c r="H43" s="9">
        <f t="shared" si="13"/>
        <v>0.5</v>
      </c>
      <c r="I43" s="33">
        <f t="shared" si="0"/>
        <v>0.15000000000000002</v>
      </c>
      <c r="J43" s="33">
        <f t="shared" si="1"/>
        <v>-1.3332666666666664</v>
      </c>
      <c r="K43" s="33">
        <f t="shared" si="2"/>
        <v>-0.15000000000000002</v>
      </c>
      <c r="L43" s="33">
        <f t="shared" si="3"/>
        <v>1.3333333333333333</v>
      </c>
      <c r="M43" s="13" t="str">
        <f t="shared" si="14"/>
        <v>Valutazione 
soddisfacente</v>
      </c>
      <c r="N43" s="34">
        <f t="shared" si="5"/>
        <v>-0.18880752396400155</v>
      </c>
      <c r="O43" s="14">
        <f t="shared" si="15"/>
        <v>0</v>
      </c>
      <c r="P43" s="35">
        <f t="shared" si="7"/>
        <v>0</v>
      </c>
    </row>
    <row r="44" spans="2:18" x14ac:dyDescent="0.3">
      <c r="B44" s="23" t="s">
        <v>21</v>
      </c>
      <c r="C44" s="78">
        <v>0.60600962597448416</v>
      </c>
      <c r="D44" s="43">
        <v>0.65</v>
      </c>
      <c r="E44" s="10">
        <f t="shared" si="11"/>
        <v>0.15</v>
      </c>
      <c r="F44" s="25">
        <f t="shared" si="8"/>
        <v>0.60600962597448416</v>
      </c>
      <c r="G44" s="9">
        <f t="shared" si="12"/>
        <v>0.8</v>
      </c>
      <c r="H44" s="9">
        <f t="shared" si="13"/>
        <v>0.5</v>
      </c>
      <c r="I44" s="33">
        <f t="shared" si="0"/>
        <v>0.15000000000000002</v>
      </c>
      <c r="J44" s="33">
        <f t="shared" si="1"/>
        <v>-1.3332666666666664</v>
      </c>
      <c r="K44" s="33">
        <f t="shared" si="2"/>
        <v>-0.15000000000000002</v>
      </c>
      <c r="L44" s="33">
        <f t="shared" si="3"/>
        <v>1.3333333333333333</v>
      </c>
      <c r="M44" s="13">
        <f t="shared" si="14"/>
        <v>0</v>
      </c>
      <c r="N44" s="34">
        <f t="shared" si="5"/>
        <v>0</v>
      </c>
      <c r="O44" s="14" t="str">
        <f t="shared" si="15"/>
        <v>Valutazione 
non soddisfacente</v>
      </c>
      <c r="P44" s="35">
        <f t="shared" si="7"/>
        <v>-0.25865383203402115</v>
      </c>
    </row>
    <row r="45" spans="2:18" x14ac:dyDescent="0.3">
      <c r="B45" s="23" t="s">
        <v>22</v>
      </c>
      <c r="C45" s="78">
        <v>0.6434372723989642</v>
      </c>
      <c r="D45" s="43">
        <v>0.65</v>
      </c>
      <c r="E45" s="10">
        <f t="shared" si="11"/>
        <v>0.15</v>
      </c>
      <c r="F45" s="25">
        <f t="shared" si="8"/>
        <v>0.6434372723989642</v>
      </c>
      <c r="G45" s="9">
        <f t="shared" ref="G45:G54" si="16">D45+E45</f>
        <v>0.8</v>
      </c>
      <c r="H45" s="9">
        <f t="shared" ref="H45:H54" si="17">D45-E45</f>
        <v>0.5</v>
      </c>
      <c r="I45" s="33">
        <f t="shared" si="0"/>
        <v>0.15000000000000002</v>
      </c>
      <c r="J45" s="33">
        <f t="shared" si="1"/>
        <v>-1.3332666666666664</v>
      </c>
      <c r="K45" s="33">
        <f t="shared" si="2"/>
        <v>-0.15000000000000002</v>
      </c>
      <c r="L45" s="33">
        <f t="shared" si="3"/>
        <v>1.3333333333333333</v>
      </c>
      <c r="M45" s="13">
        <f t="shared" si="14"/>
        <v>0</v>
      </c>
      <c r="N45" s="34">
        <f t="shared" si="5"/>
        <v>0</v>
      </c>
      <c r="O45" s="14" t="str">
        <f t="shared" si="15"/>
        <v>Valutazione 
non soddisfacente</v>
      </c>
      <c r="P45" s="35">
        <f t="shared" si="7"/>
        <v>-0.20875030346804777</v>
      </c>
    </row>
    <row r="46" spans="2:18" x14ac:dyDescent="0.3">
      <c r="B46" s="23" t="s">
        <v>23</v>
      </c>
      <c r="C46" s="78">
        <v>0.7255038889698423</v>
      </c>
      <c r="D46" s="43">
        <v>0.65</v>
      </c>
      <c r="E46" s="10">
        <f t="shared" si="11"/>
        <v>0.15</v>
      </c>
      <c r="F46" s="25">
        <f t="shared" si="8"/>
        <v>0.7255038889698423</v>
      </c>
      <c r="G46" s="9">
        <f t="shared" si="16"/>
        <v>0.8</v>
      </c>
      <c r="H46" s="9">
        <f t="shared" si="17"/>
        <v>0.5</v>
      </c>
      <c r="I46" s="33">
        <f t="shared" si="0"/>
        <v>0.15000000000000002</v>
      </c>
      <c r="J46" s="33">
        <f t="shared" si="1"/>
        <v>-1.3332666666666664</v>
      </c>
      <c r="K46" s="33">
        <f t="shared" si="2"/>
        <v>-0.15000000000000002</v>
      </c>
      <c r="L46" s="33">
        <f t="shared" si="3"/>
        <v>1.3333333333333333</v>
      </c>
      <c r="M46" s="13" t="str">
        <f t="shared" si="14"/>
        <v>Valutazione 
soddisfacente</v>
      </c>
      <c r="N46" s="34">
        <f>IF(F46&gt;=D46,-(F46-G46)*J46,0)</f>
        <v>-9.9323181632808288E-2</v>
      </c>
      <c r="O46" s="14">
        <f t="shared" si="15"/>
        <v>0</v>
      </c>
      <c r="P46" s="35">
        <f t="shared" si="7"/>
        <v>0</v>
      </c>
    </row>
    <row r="47" spans="2:18" x14ac:dyDescent="0.3">
      <c r="B47" s="23" t="s">
        <v>24</v>
      </c>
      <c r="C47" s="78">
        <v>0.68981755575749815</v>
      </c>
      <c r="D47" s="43">
        <v>0.65</v>
      </c>
      <c r="E47" s="10">
        <f t="shared" si="11"/>
        <v>0.15</v>
      </c>
      <c r="F47" s="25">
        <f t="shared" si="8"/>
        <v>0.68981755575749815</v>
      </c>
      <c r="G47" s="9">
        <f t="shared" si="16"/>
        <v>0.8</v>
      </c>
      <c r="H47" s="9">
        <f t="shared" si="17"/>
        <v>0.5</v>
      </c>
      <c r="I47" s="33">
        <f t="shared" si="0"/>
        <v>0.15000000000000002</v>
      </c>
      <c r="J47" s="33">
        <f t="shared" si="1"/>
        <v>-1.3332666666666664</v>
      </c>
      <c r="K47" s="33">
        <f t="shared" si="2"/>
        <v>-0.15000000000000002</v>
      </c>
      <c r="L47" s="33">
        <f t="shared" si="3"/>
        <v>1.3333333333333333</v>
      </c>
      <c r="M47" s="13" t="str">
        <f t="shared" si="14"/>
        <v>Valutazione 
soddisfacente</v>
      </c>
      <c r="N47" s="34">
        <f t="shared" ref="N47:N54" si="18">IF(F47&gt;=D47,-(F47-G47)*J47,0)</f>
        <v>-0.14690258016038632</v>
      </c>
      <c r="O47" s="14">
        <f t="shared" si="15"/>
        <v>0</v>
      </c>
      <c r="P47" s="35">
        <f t="shared" si="7"/>
        <v>0</v>
      </c>
    </row>
    <row r="48" spans="2:18" x14ac:dyDescent="0.3">
      <c r="B48" s="23" t="s">
        <v>25</v>
      </c>
      <c r="C48" s="78">
        <v>0.82659018461453515</v>
      </c>
      <c r="D48" s="43">
        <v>0.65</v>
      </c>
      <c r="E48" s="10">
        <f t="shared" si="11"/>
        <v>0.15</v>
      </c>
      <c r="F48" s="25">
        <f t="shared" si="8"/>
        <v>0.8</v>
      </c>
      <c r="G48" s="9">
        <f t="shared" si="16"/>
        <v>0.8</v>
      </c>
      <c r="H48" s="9">
        <f t="shared" si="17"/>
        <v>0.5</v>
      </c>
      <c r="I48" s="33">
        <f t="shared" si="0"/>
        <v>0.15000000000000002</v>
      </c>
      <c r="J48" s="33">
        <f t="shared" si="1"/>
        <v>-1.3332666666666664</v>
      </c>
      <c r="K48" s="33">
        <f t="shared" si="2"/>
        <v>-0.15000000000000002</v>
      </c>
      <c r="L48" s="33">
        <f t="shared" si="3"/>
        <v>1.3333333333333333</v>
      </c>
      <c r="M48" s="13" t="str">
        <f t="shared" si="14"/>
        <v>Valutazione 
soddisfacente</v>
      </c>
      <c r="N48" s="34">
        <f t="shared" si="18"/>
        <v>0</v>
      </c>
      <c r="O48" s="14">
        <f t="shared" si="15"/>
        <v>0</v>
      </c>
      <c r="P48" s="35">
        <f t="shared" si="7"/>
        <v>0</v>
      </c>
    </row>
    <row r="49" spans="2:16" x14ac:dyDescent="0.3">
      <c r="B49" s="23" t="s">
        <v>26</v>
      </c>
      <c r="C49" s="78">
        <v>0.71267675744331849</v>
      </c>
      <c r="D49" s="43">
        <v>0.65</v>
      </c>
      <c r="E49" s="10">
        <f t="shared" si="11"/>
        <v>0.15</v>
      </c>
      <c r="F49" s="25">
        <f t="shared" si="8"/>
        <v>0.71267675744331849</v>
      </c>
      <c r="G49" s="9">
        <f t="shared" si="16"/>
        <v>0.8</v>
      </c>
      <c r="H49" s="9">
        <f t="shared" si="17"/>
        <v>0.5</v>
      </c>
      <c r="I49" s="33">
        <f t="shared" si="0"/>
        <v>0.15000000000000002</v>
      </c>
      <c r="J49" s="33">
        <f t="shared" si="1"/>
        <v>-1.3332666666666664</v>
      </c>
      <c r="K49" s="33">
        <f t="shared" si="2"/>
        <v>-0.15000000000000002</v>
      </c>
      <c r="L49" s="33">
        <f t="shared" si="3"/>
        <v>1.3333333333333333</v>
      </c>
      <c r="M49" s="13" t="str">
        <f t="shared" si="14"/>
        <v>Valutazione 
soddisfacente</v>
      </c>
      <c r="N49" s="34">
        <f t="shared" si="18"/>
        <v>-0.11642516852607161</v>
      </c>
      <c r="O49" s="14">
        <f t="shared" si="15"/>
        <v>0</v>
      </c>
      <c r="P49" s="35">
        <f t="shared" si="7"/>
        <v>0</v>
      </c>
    </row>
    <row r="50" spans="2:16" x14ac:dyDescent="0.3">
      <c r="B50" s="23" t="s">
        <v>27</v>
      </c>
      <c r="C50" s="78">
        <v>0.71779638085199293</v>
      </c>
      <c r="D50" s="43">
        <v>0.65</v>
      </c>
      <c r="E50" s="10">
        <f t="shared" si="11"/>
        <v>0.15</v>
      </c>
      <c r="F50" s="25">
        <f t="shared" si="8"/>
        <v>0.71779638085199293</v>
      </c>
      <c r="G50" s="9">
        <f t="shared" si="16"/>
        <v>0.8</v>
      </c>
      <c r="H50" s="9">
        <f t="shared" si="17"/>
        <v>0.5</v>
      </c>
      <c r="I50" s="33">
        <f t="shared" si="0"/>
        <v>0.15000000000000002</v>
      </c>
      <c r="J50" s="33">
        <f t="shared" si="1"/>
        <v>-1.3332666666666664</v>
      </c>
      <c r="K50" s="33">
        <f t="shared" si="2"/>
        <v>-0.15000000000000002</v>
      </c>
      <c r="L50" s="33">
        <f t="shared" si="3"/>
        <v>1.3333333333333333</v>
      </c>
      <c r="M50" s="13" t="str">
        <f t="shared" si="14"/>
        <v>Valutazione 
soddisfacente</v>
      </c>
      <c r="N50" s="34">
        <f t="shared" si="18"/>
        <v>-0.10959934528939959</v>
      </c>
      <c r="O50" s="14">
        <f t="shared" si="15"/>
        <v>0</v>
      </c>
      <c r="P50" s="35">
        <f t="shared" si="7"/>
        <v>0</v>
      </c>
    </row>
    <row r="51" spans="2:16" x14ac:dyDescent="0.3">
      <c r="B51" s="23" t="s">
        <v>28</v>
      </c>
      <c r="C51" s="78">
        <v>0.76230761228530775</v>
      </c>
      <c r="D51" s="43">
        <v>0.65</v>
      </c>
      <c r="E51" s="10">
        <f t="shared" si="11"/>
        <v>0.15</v>
      </c>
      <c r="F51" s="25">
        <f t="shared" si="8"/>
        <v>0.76230761228530775</v>
      </c>
      <c r="G51" s="9">
        <f t="shared" si="16"/>
        <v>0.8</v>
      </c>
      <c r="H51" s="9">
        <f t="shared" si="17"/>
        <v>0.5</v>
      </c>
      <c r="I51" s="33">
        <f t="shared" si="0"/>
        <v>0.15000000000000002</v>
      </c>
      <c r="J51" s="33">
        <f t="shared" si="1"/>
        <v>-1.3332666666666664</v>
      </c>
      <c r="K51" s="33">
        <f t="shared" si="2"/>
        <v>-0.15000000000000002</v>
      </c>
      <c r="L51" s="33">
        <f t="shared" si="3"/>
        <v>1.3333333333333333</v>
      </c>
      <c r="M51" s="13" t="str">
        <f t="shared" si="14"/>
        <v>Valutazione 
soddisfacente</v>
      </c>
      <c r="N51" s="34">
        <f t="shared" si="18"/>
        <v>-5.0254004127075411E-2</v>
      </c>
      <c r="O51" s="14">
        <f t="shared" si="15"/>
        <v>0</v>
      </c>
      <c r="P51" s="35">
        <f t="shared" si="7"/>
        <v>0</v>
      </c>
    </row>
    <row r="52" spans="2:16" x14ac:dyDescent="0.3">
      <c r="B52" s="23" t="s">
        <v>29</v>
      </c>
      <c r="C52" s="78">
        <v>0.8599539619804436</v>
      </c>
      <c r="D52" s="43">
        <v>0.65</v>
      </c>
      <c r="E52" s="10">
        <f t="shared" si="11"/>
        <v>0.15</v>
      </c>
      <c r="F52" s="25">
        <f t="shared" si="8"/>
        <v>0.8</v>
      </c>
      <c r="G52" s="9">
        <f t="shared" si="16"/>
        <v>0.8</v>
      </c>
      <c r="H52" s="9">
        <f t="shared" si="17"/>
        <v>0.5</v>
      </c>
      <c r="I52" s="33">
        <f t="shared" si="0"/>
        <v>0.15000000000000002</v>
      </c>
      <c r="J52" s="33">
        <f t="shared" si="1"/>
        <v>-1.3332666666666664</v>
      </c>
      <c r="K52" s="33">
        <f t="shared" si="2"/>
        <v>-0.15000000000000002</v>
      </c>
      <c r="L52" s="33">
        <f t="shared" si="3"/>
        <v>1.3333333333333333</v>
      </c>
      <c r="M52" s="13" t="str">
        <f t="shared" si="14"/>
        <v>Valutazione 
soddisfacente</v>
      </c>
      <c r="N52" s="34">
        <f t="shared" si="18"/>
        <v>0</v>
      </c>
      <c r="O52" s="14">
        <f t="shared" si="15"/>
        <v>0</v>
      </c>
      <c r="P52" s="35">
        <f t="shared" si="7"/>
        <v>0</v>
      </c>
    </row>
    <row r="53" spans="2:16" x14ac:dyDescent="0.3">
      <c r="B53" s="23" t="s">
        <v>30</v>
      </c>
      <c r="C53" s="78">
        <v>0.75530956159729479</v>
      </c>
      <c r="D53" s="43">
        <v>0.65</v>
      </c>
      <c r="E53" s="10">
        <f t="shared" si="11"/>
        <v>0.15</v>
      </c>
      <c r="F53" s="25">
        <f t="shared" si="8"/>
        <v>0.75530956159729479</v>
      </c>
      <c r="G53" s="9">
        <f t="shared" si="16"/>
        <v>0.8</v>
      </c>
      <c r="H53" s="9">
        <f t="shared" si="17"/>
        <v>0.5</v>
      </c>
      <c r="I53" s="33">
        <f t="shared" si="0"/>
        <v>0.15000000000000002</v>
      </c>
      <c r="J53" s="33">
        <f t="shared" si="1"/>
        <v>-1.3332666666666664</v>
      </c>
      <c r="K53" s="33">
        <f t="shared" si="2"/>
        <v>-0.15000000000000002</v>
      </c>
      <c r="L53" s="33">
        <f t="shared" si="3"/>
        <v>1.3333333333333333</v>
      </c>
      <c r="M53" s="13" t="str">
        <f t="shared" si="14"/>
        <v>Valutazione 
soddisfacente</v>
      </c>
      <c r="N53" s="34">
        <f t="shared" si="18"/>
        <v>-5.9584271841046817E-2</v>
      </c>
      <c r="O53" s="14">
        <f t="shared" si="15"/>
        <v>0</v>
      </c>
      <c r="P53" s="35">
        <f t="shared" si="7"/>
        <v>0</v>
      </c>
    </row>
    <row r="54" spans="2:16" x14ac:dyDescent="0.3">
      <c r="B54" s="23" t="s">
        <v>31</v>
      </c>
      <c r="C54" s="78">
        <v>0.7070973599172552</v>
      </c>
      <c r="D54" s="43">
        <v>0.65</v>
      </c>
      <c r="E54" s="10">
        <f t="shared" si="11"/>
        <v>0.15</v>
      </c>
      <c r="F54" s="25">
        <f t="shared" si="8"/>
        <v>0.7070973599172552</v>
      </c>
      <c r="G54" s="9">
        <f t="shared" si="16"/>
        <v>0.8</v>
      </c>
      <c r="H54" s="9">
        <f t="shared" si="17"/>
        <v>0.5</v>
      </c>
      <c r="I54" s="33">
        <f t="shared" si="0"/>
        <v>0.15000000000000002</v>
      </c>
      <c r="J54" s="33">
        <f t="shared" si="1"/>
        <v>-1.3332666666666664</v>
      </c>
      <c r="K54" s="33">
        <f t="shared" si="2"/>
        <v>-0.15000000000000002</v>
      </c>
      <c r="L54" s="33">
        <f t="shared" si="3"/>
        <v>1.3333333333333333</v>
      </c>
      <c r="M54" s="13" t="str">
        <f t="shared" si="14"/>
        <v>Valutazione 
soddisfacente</v>
      </c>
      <c r="N54" s="34">
        <f t="shared" si="18"/>
        <v>-0.12386399326765425</v>
      </c>
      <c r="O54" s="14">
        <f t="shared" si="15"/>
        <v>0</v>
      </c>
      <c r="P54" s="35">
        <f t="shared" si="7"/>
        <v>0</v>
      </c>
    </row>
    <row r="56" spans="2:16" x14ac:dyDescent="0.3">
      <c r="B56" s="124" t="s">
        <v>5</v>
      </c>
      <c r="C56" s="124"/>
      <c r="D56" s="124"/>
      <c r="E56" s="124"/>
      <c r="F56" s="6"/>
      <c r="G56" s="66"/>
      <c r="H56" s="6"/>
      <c r="I56" s="6"/>
      <c r="J56" s="6"/>
      <c r="K56" s="6"/>
      <c r="L56" s="6"/>
      <c r="M56" s="6"/>
    </row>
    <row r="57" spans="2:16" x14ac:dyDescent="0.3">
      <c r="B57" s="118" t="s">
        <v>1</v>
      </c>
      <c r="D57" s="119" t="s">
        <v>2</v>
      </c>
      <c r="E57" s="119"/>
      <c r="F57" s="7"/>
      <c r="G57" s="6"/>
      <c r="H57" s="6"/>
      <c r="I57" s="7"/>
      <c r="J57" s="7"/>
      <c r="K57" s="7"/>
      <c r="L57" s="7"/>
      <c r="M57" s="7"/>
    </row>
    <row r="58" spans="2:16" x14ac:dyDescent="0.3">
      <c r="B58" s="118"/>
      <c r="D58" s="44">
        <v>-0.14999000000000001</v>
      </c>
      <c r="E58" s="45">
        <v>0</v>
      </c>
      <c r="G58" s="6"/>
      <c r="H58" s="6"/>
      <c r="J58" s="7"/>
      <c r="M58" s="67"/>
    </row>
    <row r="59" spans="2:16" x14ac:dyDescent="0.3">
      <c r="B59" s="118"/>
      <c r="C59" s="120" t="s">
        <v>3</v>
      </c>
      <c r="D59" s="121"/>
      <c r="E59" s="3"/>
      <c r="F59" s="8"/>
      <c r="G59" s="8"/>
      <c r="H59" s="8"/>
      <c r="I59" s="8"/>
      <c r="J59" s="8"/>
      <c r="K59" s="8"/>
      <c r="L59" s="8"/>
      <c r="M59" s="68"/>
    </row>
    <row r="60" spans="2:16" x14ac:dyDescent="0.3">
      <c r="B60" s="118"/>
      <c r="C60" s="46">
        <v>-0.3</v>
      </c>
      <c r="D60" s="47">
        <v>-0.15</v>
      </c>
      <c r="E60" s="4"/>
    </row>
    <row r="62" spans="2:16" ht="72" x14ac:dyDescent="0.3">
      <c r="C62" s="65" t="s">
        <v>51</v>
      </c>
      <c r="D62" s="65" t="s">
        <v>32</v>
      </c>
      <c r="E62" s="65" t="s">
        <v>10</v>
      </c>
      <c r="F62" s="65" t="s">
        <v>51</v>
      </c>
      <c r="G62" s="65" t="s">
        <v>11</v>
      </c>
      <c r="H62" s="65" t="s">
        <v>12</v>
      </c>
      <c r="I62" s="21"/>
      <c r="J62" s="21"/>
      <c r="K62" s="21"/>
      <c r="L62" s="21"/>
      <c r="M62" s="122" t="s">
        <v>8</v>
      </c>
      <c r="N62" s="123"/>
      <c r="O62" s="113" t="s">
        <v>9</v>
      </c>
      <c r="P62" s="114"/>
    </row>
    <row r="63" spans="2:16" x14ac:dyDescent="0.3">
      <c r="C63" s="5"/>
      <c r="D63" s="58">
        <v>1</v>
      </c>
      <c r="E63" s="24">
        <v>0.15</v>
      </c>
      <c r="F63" s="5"/>
      <c r="G63" s="5"/>
      <c r="H63" s="58">
        <v>0.85</v>
      </c>
      <c r="I63" s="5"/>
      <c r="J63" s="5"/>
      <c r="K63" s="5"/>
      <c r="L63" s="5"/>
      <c r="M63" s="11"/>
      <c r="N63" s="11"/>
      <c r="O63" s="12"/>
      <c r="P63" s="12"/>
    </row>
    <row r="64" spans="2:16" x14ac:dyDescent="0.3">
      <c r="B64" s="23" t="s">
        <v>13</v>
      </c>
      <c r="C64" s="62">
        <f>'Efficacia R1'!$G$58</f>
        <v>0.96743518934263995</v>
      </c>
      <c r="D64" s="62">
        <f>$D$63</f>
        <v>1</v>
      </c>
      <c r="E64" s="62">
        <f>$E$63</f>
        <v>0.15</v>
      </c>
      <c r="F64" s="63">
        <f>C64</f>
        <v>0.96743518934263995</v>
      </c>
      <c r="G64" s="9">
        <f>D64</f>
        <v>1</v>
      </c>
      <c r="H64" s="9">
        <f>$H$63-$E$63</f>
        <v>0.7</v>
      </c>
      <c r="I64" s="64">
        <f>IF(F64&gt;=$H$63,D64-F64,0)</f>
        <v>3.2564810657360055E-2</v>
      </c>
      <c r="J64" s="59"/>
      <c r="K64" s="33">
        <f>IF(F64&lt;$H$63,$H$63-F64,0)</f>
        <v>0</v>
      </c>
      <c r="L64" s="59"/>
      <c r="M64" s="13" t="str">
        <f>IF(F64&gt;=$H$63,$M$62,0)</f>
        <v>Valutazione 
soddisfacente</v>
      </c>
      <c r="N64" s="60">
        <f>IF(F64&gt;=$H$63,$E$58-I64,0)</f>
        <v>-3.2564810657360055E-2</v>
      </c>
      <c r="O64" s="14">
        <f>IF(F64&lt;$H$63,$O$62,0)</f>
        <v>0</v>
      </c>
      <c r="P64" s="61">
        <f>IF(F64&lt;$H$63,$D$60-K64,0)</f>
        <v>0</v>
      </c>
    </row>
    <row r="65" spans="2:16" x14ac:dyDescent="0.3">
      <c r="B65" s="23" t="s">
        <v>14</v>
      </c>
      <c r="C65" s="62">
        <f>'Efficacia R1'!$G$58</f>
        <v>0.96743518934263995</v>
      </c>
      <c r="D65" s="62">
        <f t="shared" ref="D65:D82" si="19">$D$63</f>
        <v>1</v>
      </c>
      <c r="E65" s="62">
        <f t="shared" ref="E65:E82" si="20">$E$63</f>
        <v>0.15</v>
      </c>
      <c r="F65" s="63">
        <f t="shared" ref="F65:F82" si="21">C65</f>
        <v>0.96743518934263995</v>
      </c>
      <c r="G65" s="9">
        <f t="shared" ref="G65:G82" si="22">D65</f>
        <v>1</v>
      </c>
      <c r="H65" s="9">
        <f t="shared" ref="H65:H82" si="23">$H$63-$E$63</f>
        <v>0.7</v>
      </c>
      <c r="I65" s="64">
        <f t="shared" ref="I65:I82" si="24">IF(F65&gt;=$H$63,D65-F65,0)</f>
        <v>3.2564810657360055E-2</v>
      </c>
      <c r="J65" s="59"/>
      <c r="K65" s="33">
        <f t="shared" ref="K65:K82" si="25">IF(F65&lt;$H$63,$H$63-F65,0)</f>
        <v>0</v>
      </c>
      <c r="L65" s="59"/>
      <c r="M65" s="13" t="str">
        <f t="shared" ref="M65:M82" si="26">IF(F65&gt;=$H$63,$M$62,0)</f>
        <v>Valutazione 
soddisfacente</v>
      </c>
      <c r="N65" s="60">
        <f t="shared" ref="N65:N82" si="27">IF(F65&gt;=$H$63,$E$58-I65,0)</f>
        <v>-3.2564810657360055E-2</v>
      </c>
      <c r="O65" s="14">
        <f t="shared" ref="O65:O82" si="28">IF(F65&lt;$H$63,$O$62,0)</f>
        <v>0</v>
      </c>
      <c r="P65" s="61">
        <f t="shared" ref="P65:P82" si="29">IF(F65&lt;$H$63,$D$60-K65,0)</f>
        <v>0</v>
      </c>
    </row>
    <row r="66" spans="2:16" x14ac:dyDescent="0.3">
      <c r="B66" s="23" t="s">
        <v>15</v>
      </c>
      <c r="C66" s="62">
        <f>'Efficacia R1'!$G$58</f>
        <v>0.96743518934263995</v>
      </c>
      <c r="D66" s="62">
        <f t="shared" si="19"/>
        <v>1</v>
      </c>
      <c r="E66" s="62">
        <f t="shared" si="20"/>
        <v>0.15</v>
      </c>
      <c r="F66" s="63">
        <f t="shared" si="21"/>
        <v>0.96743518934263995</v>
      </c>
      <c r="G66" s="9">
        <f t="shared" si="22"/>
        <v>1</v>
      </c>
      <c r="H66" s="9">
        <f t="shared" si="23"/>
        <v>0.7</v>
      </c>
      <c r="I66" s="64">
        <f t="shared" si="24"/>
        <v>3.2564810657360055E-2</v>
      </c>
      <c r="J66" s="59"/>
      <c r="K66" s="33">
        <f t="shared" si="25"/>
        <v>0</v>
      </c>
      <c r="L66" s="59"/>
      <c r="M66" s="13" t="str">
        <f t="shared" si="26"/>
        <v>Valutazione 
soddisfacente</v>
      </c>
      <c r="N66" s="60">
        <f t="shared" si="27"/>
        <v>-3.2564810657360055E-2</v>
      </c>
      <c r="O66" s="14">
        <f t="shared" si="28"/>
        <v>0</v>
      </c>
      <c r="P66" s="61">
        <f t="shared" si="29"/>
        <v>0</v>
      </c>
    </row>
    <row r="67" spans="2:16" x14ac:dyDescent="0.3">
      <c r="B67" s="23" t="s">
        <v>16</v>
      </c>
      <c r="C67" s="62">
        <f>'Efficacia R1'!$G$58</f>
        <v>0.96743518934263995</v>
      </c>
      <c r="D67" s="62">
        <f t="shared" si="19"/>
        <v>1</v>
      </c>
      <c r="E67" s="62">
        <f t="shared" si="20"/>
        <v>0.15</v>
      </c>
      <c r="F67" s="63">
        <f t="shared" si="21"/>
        <v>0.96743518934263995</v>
      </c>
      <c r="G67" s="9">
        <f t="shared" si="22"/>
        <v>1</v>
      </c>
      <c r="H67" s="9">
        <f t="shared" si="23"/>
        <v>0.7</v>
      </c>
      <c r="I67" s="64">
        <f t="shared" si="24"/>
        <v>3.2564810657360055E-2</v>
      </c>
      <c r="J67" s="59"/>
      <c r="K67" s="33">
        <f t="shared" si="25"/>
        <v>0</v>
      </c>
      <c r="L67" s="59"/>
      <c r="M67" s="13" t="str">
        <f t="shared" si="26"/>
        <v>Valutazione 
soddisfacente</v>
      </c>
      <c r="N67" s="60">
        <f t="shared" si="27"/>
        <v>-3.2564810657360055E-2</v>
      </c>
      <c r="O67" s="14">
        <f t="shared" si="28"/>
        <v>0</v>
      </c>
      <c r="P67" s="61">
        <f t="shared" si="29"/>
        <v>0</v>
      </c>
    </row>
    <row r="68" spans="2:16" x14ac:dyDescent="0.3">
      <c r="B68" s="23" t="s">
        <v>17</v>
      </c>
      <c r="C68" s="62">
        <f>'Efficacia R1'!$G$58</f>
        <v>0.96743518934263995</v>
      </c>
      <c r="D68" s="62">
        <f t="shared" si="19"/>
        <v>1</v>
      </c>
      <c r="E68" s="62">
        <f t="shared" si="20"/>
        <v>0.15</v>
      </c>
      <c r="F68" s="63">
        <f t="shared" si="21"/>
        <v>0.96743518934263995</v>
      </c>
      <c r="G68" s="9">
        <f t="shared" si="22"/>
        <v>1</v>
      </c>
      <c r="H68" s="9">
        <f t="shared" si="23"/>
        <v>0.7</v>
      </c>
      <c r="I68" s="64">
        <f t="shared" si="24"/>
        <v>3.2564810657360055E-2</v>
      </c>
      <c r="J68" s="59"/>
      <c r="K68" s="33">
        <f t="shared" si="25"/>
        <v>0</v>
      </c>
      <c r="L68" s="59"/>
      <c r="M68" s="13" t="str">
        <f t="shared" si="26"/>
        <v>Valutazione 
soddisfacente</v>
      </c>
      <c r="N68" s="60">
        <f t="shared" si="27"/>
        <v>-3.2564810657360055E-2</v>
      </c>
      <c r="O68" s="14">
        <f t="shared" si="28"/>
        <v>0</v>
      </c>
      <c r="P68" s="61">
        <f t="shared" si="29"/>
        <v>0</v>
      </c>
    </row>
    <row r="69" spans="2:16" x14ac:dyDescent="0.3">
      <c r="B69" s="23" t="s">
        <v>18</v>
      </c>
      <c r="C69" s="62">
        <f>'Efficacia R1'!$G$58</f>
        <v>0.96743518934263995</v>
      </c>
      <c r="D69" s="62">
        <f t="shared" si="19"/>
        <v>1</v>
      </c>
      <c r="E69" s="62">
        <f t="shared" si="20"/>
        <v>0.15</v>
      </c>
      <c r="F69" s="63">
        <f t="shared" si="21"/>
        <v>0.96743518934263995</v>
      </c>
      <c r="G69" s="9">
        <f t="shared" si="22"/>
        <v>1</v>
      </c>
      <c r="H69" s="9">
        <f t="shared" si="23"/>
        <v>0.7</v>
      </c>
      <c r="I69" s="64">
        <f t="shared" si="24"/>
        <v>3.2564810657360055E-2</v>
      </c>
      <c r="J69" s="59"/>
      <c r="K69" s="33">
        <f t="shared" si="25"/>
        <v>0</v>
      </c>
      <c r="L69" s="59"/>
      <c r="M69" s="13" t="str">
        <f t="shared" si="26"/>
        <v>Valutazione 
soddisfacente</v>
      </c>
      <c r="N69" s="60">
        <f t="shared" si="27"/>
        <v>-3.2564810657360055E-2</v>
      </c>
      <c r="O69" s="14">
        <f t="shared" si="28"/>
        <v>0</v>
      </c>
      <c r="P69" s="61">
        <f t="shared" si="29"/>
        <v>0</v>
      </c>
    </row>
    <row r="70" spans="2:16" x14ac:dyDescent="0.3">
      <c r="B70" s="23" t="s">
        <v>19</v>
      </c>
      <c r="C70" s="62">
        <f>'Efficacia R1'!$G$58</f>
        <v>0.96743518934263995</v>
      </c>
      <c r="D70" s="62">
        <f t="shared" si="19"/>
        <v>1</v>
      </c>
      <c r="E70" s="62">
        <f t="shared" si="20"/>
        <v>0.15</v>
      </c>
      <c r="F70" s="63">
        <f t="shared" si="21"/>
        <v>0.96743518934263995</v>
      </c>
      <c r="G70" s="9">
        <f t="shared" si="22"/>
        <v>1</v>
      </c>
      <c r="H70" s="9">
        <f t="shared" si="23"/>
        <v>0.7</v>
      </c>
      <c r="I70" s="64">
        <f t="shared" si="24"/>
        <v>3.2564810657360055E-2</v>
      </c>
      <c r="J70" s="59"/>
      <c r="K70" s="33">
        <f t="shared" si="25"/>
        <v>0</v>
      </c>
      <c r="L70" s="59"/>
      <c r="M70" s="13" t="str">
        <f t="shared" si="26"/>
        <v>Valutazione 
soddisfacente</v>
      </c>
      <c r="N70" s="60">
        <f t="shared" si="27"/>
        <v>-3.2564810657360055E-2</v>
      </c>
      <c r="O70" s="14">
        <f t="shared" si="28"/>
        <v>0</v>
      </c>
      <c r="P70" s="61">
        <f t="shared" si="29"/>
        <v>0</v>
      </c>
    </row>
    <row r="71" spans="2:16" x14ac:dyDescent="0.3">
      <c r="B71" s="23" t="s">
        <v>20</v>
      </c>
      <c r="C71" s="62">
        <f>'Efficacia R1'!$G$58</f>
        <v>0.96743518934263995</v>
      </c>
      <c r="D71" s="62">
        <f t="shared" si="19"/>
        <v>1</v>
      </c>
      <c r="E71" s="62">
        <f t="shared" si="20"/>
        <v>0.15</v>
      </c>
      <c r="F71" s="63">
        <f t="shared" si="21"/>
        <v>0.96743518934263995</v>
      </c>
      <c r="G71" s="9">
        <f t="shared" si="22"/>
        <v>1</v>
      </c>
      <c r="H71" s="9">
        <f t="shared" si="23"/>
        <v>0.7</v>
      </c>
      <c r="I71" s="64">
        <f t="shared" si="24"/>
        <v>3.2564810657360055E-2</v>
      </c>
      <c r="J71" s="59"/>
      <c r="K71" s="33">
        <f t="shared" si="25"/>
        <v>0</v>
      </c>
      <c r="L71" s="59"/>
      <c r="M71" s="13" t="str">
        <f t="shared" si="26"/>
        <v>Valutazione 
soddisfacente</v>
      </c>
      <c r="N71" s="60">
        <f t="shared" si="27"/>
        <v>-3.2564810657360055E-2</v>
      </c>
      <c r="O71" s="14">
        <f t="shared" si="28"/>
        <v>0</v>
      </c>
      <c r="P71" s="61">
        <f t="shared" si="29"/>
        <v>0</v>
      </c>
    </row>
    <row r="72" spans="2:16" x14ac:dyDescent="0.3">
      <c r="B72" s="23" t="s">
        <v>21</v>
      </c>
      <c r="C72" s="62">
        <f>'Efficacia R1'!$G$58</f>
        <v>0.96743518934263995</v>
      </c>
      <c r="D72" s="62">
        <f t="shared" si="19"/>
        <v>1</v>
      </c>
      <c r="E72" s="62">
        <f t="shared" si="20"/>
        <v>0.15</v>
      </c>
      <c r="F72" s="63">
        <f t="shared" si="21"/>
        <v>0.96743518934263995</v>
      </c>
      <c r="G72" s="9">
        <f t="shared" si="22"/>
        <v>1</v>
      </c>
      <c r="H72" s="9">
        <f t="shared" si="23"/>
        <v>0.7</v>
      </c>
      <c r="I72" s="64">
        <f t="shared" si="24"/>
        <v>3.2564810657360055E-2</v>
      </c>
      <c r="J72" s="59"/>
      <c r="K72" s="33">
        <f t="shared" si="25"/>
        <v>0</v>
      </c>
      <c r="L72" s="59"/>
      <c r="M72" s="13" t="str">
        <f t="shared" si="26"/>
        <v>Valutazione 
soddisfacente</v>
      </c>
      <c r="N72" s="60">
        <f t="shared" si="27"/>
        <v>-3.2564810657360055E-2</v>
      </c>
      <c r="O72" s="14">
        <f t="shared" si="28"/>
        <v>0</v>
      </c>
      <c r="P72" s="61">
        <f t="shared" si="29"/>
        <v>0</v>
      </c>
    </row>
    <row r="73" spans="2:16" x14ac:dyDescent="0.3">
      <c r="B73" s="23" t="s">
        <v>22</v>
      </c>
      <c r="C73" s="62">
        <f>'Efficacia R1'!$G$58</f>
        <v>0.96743518934263995</v>
      </c>
      <c r="D73" s="62">
        <f t="shared" si="19"/>
        <v>1</v>
      </c>
      <c r="E73" s="62">
        <f t="shared" si="20"/>
        <v>0.15</v>
      </c>
      <c r="F73" s="63">
        <f t="shared" si="21"/>
        <v>0.96743518934263995</v>
      </c>
      <c r="G73" s="9">
        <f t="shared" si="22"/>
        <v>1</v>
      </c>
      <c r="H73" s="9">
        <f t="shared" si="23"/>
        <v>0.7</v>
      </c>
      <c r="I73" s="64">
        <f t="shared" si="24"/>
        <v>3.2564810657360055E-2</v>
      </c>
      <c r="J73" s="59"/>
      <c r="K73" s="33">
        <f t="shared" si="25"/>
        <v>0</v>
      </c>
      <c r="L73" s="59"/>
      <c r="M73" s="13" t="str">
        <f t="shared" si="26"/>
        <v>Valutazione 
soddisfacente</v>
      </c>
      <c r="N73" s="60">
        <f t="shared" si="27"/>
        <v>-3.2564810657360055E-2</v>
      </c>
      <c r="O73" s="14">
        <f t="shared" si="28"/>
        <v>0</v>
      </c>
      <c r="P73" s="61">
        <f t="shared" si="29"/>
        <v>0</v>
      </c>
    </row>
    <row r="74" spans="2:16" x14ac:dyDescent="0.3">
      <c r="B74" s="23" t="s">
        <v>23</v>
      </c>
      <c r="C74" s="62">
        <f>'Efficacia R1'!$G$58</f>
        <v>0.96743518934263995</v>
      </c>
      <c r="D74" s="62">
        <f t="shared" si="19"/>
        <v>1</v>
      </c>
      <c r="E74" s="62">
        <f t="shared" si="20"/>
        <v>0.15</v>
      </c>
      <c r="F74" s="63">
        <f t="shared" si="21"/>
        <v>0.96743518934263995</v>
      </c>
      <c r="G74" s="9">
        <f t="shared" si="22"/>
        <v>1</v>
      </c>
      <c r="H74" s="9">
        <f t="shared" si="23"/>
        <v>0.7</v>
      </c>
      <c r="I74" s="64">
        <f t="shared" si="24"/>
        <v>3.2564810657360055E-2</v>
      </c>
      <c r="J74" s="59"/>
      <c r="K74" s="33">
        <f t="shared" si="25"/>
        <v>0</v>
      </c>
      <c r="L74" s="59"/>
      <c r="M74" s="13" t="str">
        <f t="shared" si="26"/>
        <v>Valutazione 
soddisfacente</v>
      </c>
      <c r="N74" s="60">
        <f t="shared" si="27"/>
        <v>-3.2564810657360055E-2</v>
      </c>
      <c r="O74" s="14">
        <f t="shared" si="28"/>
        <v>0</v>
      </c>
      <c r="P74" s="61">
        <f t="shared" si="29"/>
        <v>0</v>
      </c>
    </row>
    <row r="75" spans="2:16" x14ac:dyDescent="0.3">
      <c r="B75" s="23" t="s">
        <v>24</v>
      </c>
      <c r="C75" s="62">
        <f>'Efficacia R1'!$G$58</f>
        <v>0.96743518934263995</v>
      </c>
      <c r="D75" s="62">
        <f t="shared" si="19"/>
        <v>1</v>
      </c>
      <c r="E75" s="62">
        <f t="shared" si="20"/>
        <v>0.15</v>
      </c>
      <c r="F75" s="63">
        <f t="shared" si="21"/>
        <v>0.96743518934263995</v>
      </c>
      <c r="G75" s="9">
        <f t="shared" si="22"/>
        <v>1</v>
      </c>
      <c r="H75" s="9">
        <f t="shared" si="23"/>
        <v>0.7</v>
      </c>
      <c r="I75" s="64">
        <f t="shared" si="24"/>
        <v>3.2564810657360055E-2</v>
      </c>
      <c r="J75" s="59"/>
      <c r="K75" s="33">
        <f t="shared" si="25"/>
        <v>0</v>
      </c>
      <c r="L75" s="59"/>
      <c r="M75" s="13" t="str">
        <f t="shared" si="26"/>
        <v>Valutazione 
soddisfacente</v>
      </c>
      <c r="N75" s="60">
        <f t="shared" si="27"/>
        <v>-3.2564810657360055E-2</v>
      </c>
      <c r="O75" s="14">
        <f t="shared" si="28"/>
        <v>0</v>
      </c>
      <c r="P75" s="61">
        <f t="shared" si="29"/>
        <v>0</v>
      </c>
    </row>
    <row r="76" spans="2:16" x14ac:dyDescent="0.3">
      <c r="B76" s="23" t="s">
        <v>25</v>
      </c>
      <c r="C76" s="62">
        <f>'Efficacia R1'!$G$58</f>
        <v>0.96743518934263995</v>
      </c>
      <c r="D76" s="62">
        <f t="shared" si="19"/>
        <v>1</v>
      </c>
      <c r="E76" s="62">
        <f t="shared" si="20"/>
        <v>0.15</v>
      </c>
      <c r="F76" s="63">
        <f t="shared" si="21"/>
        <v>0.96743518934263995</v>
      </c>
      <c r="G76" s="9">
        <f t="shared" si="22"/>
        <v>1</v>
      </c>
      <c r="H76" s="9">
        <f t="shared" si="23"/>
        <v>0.7</v>
      </c>
      <c r="I76" s="64">
        <f t="shared" si="24"/>
        <v>3.2564810657360055E-2</v>
      </c>
      <c r="J76" s="59"/>
      <c r="K76" s="33">
        <f t="shared" si="25"/>
        <v>0</v>
      </c>
      <c r="L76" s="59"/>
      <c r="M76" s="13" t="str">
        <f t="shared" si="26"/>
        <v>Valutazione 
soddisfacente</v>
      </c>
      <c r="N76" s="60">
        <f t="shared" si="27"/>
        <v>-3.2564810657360055E-2</v>
      </c>
      <c r="O76" s="14">
        <f t="shared" si="28"/>
        <v>0</v>
      </c>
      <c r="P76" s="61">
        <f t="shared" si="29"/>
        <v>0</v>
      </c>
    </row>
    <row r="77" spans="2:16" x14ac:dyDescent="0.3">
      <c r="B77" s="23" t="s">
        <v>26</v>
      </c>
      <c r="C77" s="62">
        <f>'Efficacia R1'!$G$58</f>
        <v>0.96743518934263995</v>
      </c>
      <c r="D77" s="62">
        <f t="shared" si="19"/>
        <v>1</v>
      </c>
      <c r="E77" s="62">
        <f t="shared" si="20"/>
        <v>0.15</v>
      </c>
      <c r="F77" s="63">
        <f t="shared" si="21"/>
        <v>0.96743518934263995</v>
      </c>
      <c r="G77" s="9">
        <f t="shared" si="22"/>
        <v>1</v>
      </c>
      <c r="H77" s="9">
        <f t="shared" si="23"/>
        <v>0.7</v>
      </c>
      <c r="I77" s="64">
        <f t="shared" si="24"/>
        <v>3.2564810657360055E-2</v>
      </c>
      <c r="J77" s="59"/>
      <c r="K77" s="33">
        <f t="shared" si="25"/>
        <v>0</v>
      </c>
      <c r="L77" s="59"/>
      <c r="M77" s="13" t="str">
        <f t="shared" si="26"/>
        <v>Valutazione 
soddisfacente</v>
      </c>
      <c r="N77" s="60">
        <f t="shared" si="27"/>
        <v>-3.2564810657360055E-2</v>
      </c>
      <c r="O77" s="14">
        <f t="shared" si="28"/>
        <v>0</v>
      </c>
      <c r="P77" s="61">
        <f t="shared" si="29"/>
        <v>0</v>
      </c>
    </row>
    <row r="78" spans="2:16" x14ac:dyDescent="0.3">
      <c r="B78" s="23" t="s">
        <v>27</v>
      </c>
      <c r="C78" s="62">
        <f>'Efficacia R1'!$G$58</f>
        <v>0.96743518934263995</v>
      </c>
      <c r="D78" s="62">
        <f t="shared" si="19"/>
        <v>1</v>
      </c>
      <c r="E78" s="62">
        <f t="shared" si="20"/>
        <v>0.15</v>
      </c>
      <c r="F78" s="63">
        <f t="shared" si="21"/>
        <v>0.96743518934263995</v>
      </c>
      <c r="G78" s="9">
        <f t="shared" si="22"/>
        <v>1</v>
      </c>
      <c r="H78" s="9">
        <f t="shared" si="23"/>
        <v>0.7</v>
      </c>
      <c r="I78" s="64">
        <f t="shared" si="24"/>
        <v>3.2564810657360055E-2</v>
      </c>
      <c r="J78" s="59"/>
      <c r="K78" s="33">
        <f t="shared" si="25"/>
        <v>0</v>
      </c>
      <c r="L78" s="59"/>
      <c r="M78" s="13" t="str">
        <f t="shared" si="26"/>
        <v>Valutazione 
soddisfacente</v>
      </c>
      <c r="N78" s="60">
        <f t="shared" si="27"/>
        <v>-3.2564810657360055E-2</v>
      </c>
      <c r="O78" s="14">
        <f t="shared" si="28"/>
        <v>0</v>
      </c>
      <c r="P78" s="61">
        <f t="shared" si="29"/>
        <v>0</v>
      </c>
    </row>
    <row r="79" spans="2:16" x14ac:dyDescent="0.3">
      <c r="B79" s="23" t="s">
        <v>28</v>
      </c>
      <c r="C79" s="62">
        <f>'Efficacia R1'!$G$58</f>
        <v>0.96743518934263995</v>
      </c>
      <c r="D79" s="62">
        <f t="shared" si="19"/>
        <v>1</v>
      </c>
      <c r="E79" s="62">
        <f t="shared" si="20"/>
        <v>0.15</v>
      </c>
      <c r="F79" s="63">
        <f t="shared" si="21"/>
        <v>0.96743518934263995</v>
      </c>
      <c r="G79" s="9">
        <f t="shared" si="22"/>
        <v>1</v>
      </c>
      <c r="H79" s="9">
        <f t="shared" si="23"/>
        <v>0.7</v>
      </c>
      <c r="I79" s="64">
        <f t="shared" si="24"/>
        <v>3.2564810657360055E-2</v>
      </c>
      <c r="J79" s="59"/>
      <c r="K79" s="33">
        <f t="shared" si="25"/>
        <v>0</v>
      </c>
      <c r="L79" s="59"/>
      <c r="M79" s="13" t="str">
        <f t="shared" si="26"/>
        <v>Valutazione 
soddisfacente</v>
      </c>
      <c r="N79" s="60">
        <f t="shared" si="27"/>
        <v>-3.2564810657360055E-2</v>
      </c>
      <c r="O79" s="14">
        <f t="shared" si="28"/>
        <v>0</v>
      </c>
      <c r="P79" s="61">
        <f t="shared" si="29"/>
        <v>0</v>
      </c>
    </row>
    <row r="80" spans="2:16" x14ac:dyDescent="0.3">
      <c r="B80" s="23" t="s">
        <v>29</v>
      </c>
      <c r="C80" s="62">
        <f>'Efficacia R1'!$G$58</f>
        <v>0.96743518934263995</v>
      </c>
      <c r="D80" s="62">
        <f t="shared" si="19"/>
        <v>1</v>
      </c>
      <c r="E80" s="62">
        <f t="shared" si="20"/>
        <v>0.15</v>
      </c>
      <c r="F80" s="63">
        <f t="shared" si="21"/>
        <v>0.96743518934263995</v>
      </c>
      <c r="G80" s="9">
        <f t="shared" si="22"/>
        <v>1</v>
      </c>
      <c r="H80" s="9">
        <f t="shared" si="23"/>
        <v>0.7</v>
      </c>
      <c r="I80" s="64">
        <f t="shared" si="24"/>
        <v>3.2564810657360055E-2</v>
      </c>
      <c r="J80" s="59"/>
      <c r="K80" s="33">
        <f t="shared" si="25"/>
        <v>0</v>
      </c>
      <c r="L80" s="59"/>
      <c r="M80" s="13" t="str">
        <f t="shared" si="26"/>
        <v>Valutazione 
soddisfacente</v>
      </c>
      <c r="N80" s="60">
        <f t="shared" si="27"/>
        <v>-3.2564810657360055E-2</v>
      </c>
      <c r="O80" s="14">
        <f t="shared" si="28"/>
        <v>0</v>
      </c>
      <c r="P80" s="61">
        <f t="shared" si="29"/>
        <v>0</v>
      </c>
    </row>
    <row r="81" spans="2:16" x14ac:dyDescent="0.3">
      <c r="B81" s="23" t="s">
        <v>30</v>
      </c>
      <c r="C81" s="62">
        <f>'Efficacia R1'!$G$58</f>
        <v>0.96743518934263995</v>
      </c>
      <c r="D81" s="62">
        <f t="shared" si="19"/>
        <v>1</v>
      </c>
      <c r="E81" s="62">
        <f t="shared" si="20"/>
        <v>0.15</v>
      </c>
      <c r="F81" s="63">
        <f t="shared" si="21"/>
        <v>0.96743518934263995</v>
      </c>
      <c r="G81" s="9">
        <f t="shared" si="22"/>
        <v>1</v>
      </c>
      <c r="H81" s="9">
        <f t="shared" si="23"/>
        <v>0.7</v>
      </c>
      <c r="I81" s="64">
        <f t="shared" si="24"/>
        <v>3.2564810657360055E-2</v>
      </c>
      <c r="J81" s="59"/>
      <c r="K81" s="33">
        <f t="shared" si="25"/>
        <v>0</v>
      </c>
      <c r="L81" s="59"/>
      <c r="M81" s="13" t="str">
        <f t="shared" si="26"/>
        <v>Valutazione 
soddisfacente</v>
      </c>
      <c r="N81" s="60">
        <f t="shared" si="27"/>
        <v>-3.2564810657360055E-2</v>
      </c>
      <c r="O81" s="14">
        <f t="shared" si="28"/>
        <v>0</v>
      </c>
      <c r="P81" s="61">
        <f t="shared" si="29"/>
        <v>0</v>
      </c>
    </row>
    <row r="82" spans="2:16" x14ac:dyDescent="0.3">
      <c r="B82" s="23" t="s">
        <v>31</v>
      </c>
      <c r="C82" s="62">
        <f>'Efficacia R1'!$G$58</f>
        <v>0.96743518934263995</v>
      </c>
      <c r="D82" s="62">
        <f t="shared" si="19"/>
        <v>1</v>
      </c>
      <c r="E82" s="62">
        <f t="shared" si="20"/>
        <v>0.15</v>
      </c>
      <c r="F82" s="63">
        <f t="shared" si="21"/>
        <v>0.96743518934263995</v>
      </c>
      <c r="G82" s="9">
        <f t="shared" si="22"/>
        <v>1</v>
      </c>
      <c r="H82" s="9">
        <f t="shared" si="23"/>
        <v>0.7</v>
      </c>
      <c r="I82" s="64">
        <f t="shared" si="24"/>
        <v>3.2564810657360055E-2</v>
      </c>
      <c r="J82" s="59"/>
      <c r="K82" s="33">
        <f t="shared" si="25"/>
        <v>0</v>
      </c>
      <c r="L82" s="59"/>
      <c r="M82" s="13" t="str">
        <f t="shared" si="26"/>
        <v>Valutazione 
soddisfacente</v>
      </c>
      <c r="N82" s="60">
        <f t="shared" si="27"/>
        <v>-3.2564810657360055E-2</v>
      </c>
      <c r="O82" s="14">
        <f t="shared" si="28"/>
        <v>0</v>
      </c>
      <c r="P82" s="61">
        <f t="shared" si="29"/>
        <v>0</v>
      </c>
    </row>
  </sheetData>
  <mergeCells count="12">
    <mergeCell ref="O62:P62"/>
    <mergeCell ref="B56:E56"/>
    <mergeCell ref="B57:B60"/>
    <mergeCell ref="D57:E57"/>
    <mergeCell ref="C59:D59"/>
    <mergeCell ref="M62:N62"/>
    <mergeCell ref="O34:P34"/>
    <mergeCell ref="B28:E28"/>
    <mergeCell ref="B29:B32"/>
    <mergeCell ref="D29:E29"/>
    <mergeCell ref="C31:D31"/>
    <mergeCell ref="M34:N34"/>
  </mergeCells>
  <pageMargins left="0.7" right="0.7" top="0.75" bottom="0.75" header="0.3" footer="0.3"/>
  <pageSetup paperSize="8" scale="58" orientation="landscape" r:id="rId1"/>
  <rowBreaks count="1" manualBreakCount="1">
    <brk id="27" max="16383" man="1"/>
  </rowBreaks>
  <colBreaks count="1" manualBreakCount="1">
    <brk id="16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W35"/>
  <sheetViews>
    <sheetView view="pageBreakPreview" topLeftCell="A6" zoomScale="60" zoomScaleNormal="60" workbookViewId="0">
      <selection activeCell="W20" sqref="W20"/>
    </sheetView>
  </sheetViews>
  <sheetFormatPr defaultColWidth="9.109375" defaultRowHeight="14.4" x14ac:dyDescent="0.3"/>
  <cols>
    <col min="1" max="1" width="9.109375" style="1"/>
    <col min="2" max="2" width="30.109375" style="1" customWidth="1"/>
    <col min="3" max="4" width="15.5546875" style="1" customWidth="1"/>
    <col min="5" max="20" width="10.6640625" style="1" customWidth="1"/>
    <col min="21" max="29" width="15.5546875" style="1" customWidth="1"/>
    <col min="30" max="16384" width="9.109375" style="1"/>
  </cols>
  <sheetData>
    <row r="2" spans="3:23" ht="25.8" x14ac:dyDescent="0.3">
      <c r="J2" s="94" t="s">
        <v>83</v>
      </c>
      <c r="K2" s="94"/>
    </row>
    <row r="7" spans="3:23" x14ac:dyDescent="0.3">
      <c r="J7" s="1" t="s">
        <v>82</v>
      </c>
    </row>
    <row r="8" spans="3:23" x14ac:dyDescent="0.3">
      <c r="J8" s="93">
        <f>(0.4-0.2)/2+0.2</f>
        <v>0.30000000000000004</v>
      </c>
      <c r="K8" s="93">
        <f>(0.55-0.4)/2+0.4</f>
        <v>0.47500000000000003</v>
      </c>
    </row>
    <row r="9" spans="3:23" x14ac:dyDescent="0.3">
      <c r="J9" s="93">
        <f>(0.7-0.55)/2+0.55</f>
        <v>0.625</v>
      </c>
      <c r="K9" s="93">
        <f>(0.9-0.7)/2+0.7</f>
        <v>0.8</v>
      </c>
      <c r="M9" s="1" t="s">
        <v>89</v>
      </c>
    </row>
    <row r="13" spans="3:23" x14ac:dyDescent="0.3">
      <c r="W13" s="1" t="s">
        <v>111</v>
      </c>
    </row>
    <row r="14" spans="3:23" ht="100.8" x14ac:dyDescent="0.3">
      <c r="C14" s="5" t="s">
        <v>33</v>
      </c>
      <c r="D14" s="5" t="s">
        <v>5</v>
      </c>
      <c r="E14" s="105" t="s">
        <v>0</v>
      </c>
      <c r="F14" s="106"/>
      <c r="G14" s="105" t="s">
        <v>1</v>
      </c>
      <c r="H14" s="106"/>
      <c r="I14" s="127" t="s">
        <v>52</v>
      </c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9"/>
    </row>
    <row r="15" spans="3:23" x14ac:dyDescent="0.3">
      <c r="C15" s="5" t="s">
        <v>0</v>
      </c>
      <c r="D15" s="5" t="s">
        <v>1</v>
      </c>
      <c r="E15" s="48">
        <v>-0.2</v>
      </c>
      <c r="F15" s="48">
        <v>0</v>
      </c>
      <c r="G15" s="48">
        <v>-0.15</v>
      </c>
      <c r="H15" s="48">
        <v>0</v>
      </c>
      <c r="I15" s="130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2"/>
    </row>
    <row r="16" spans="3:23" x14ac:dyDescent="0.3">
      <c r="C16" s="5"/>
      <c r="D16" s="5"/>
      <c r="E16" s="48">
        <v>-0.4</v>
      </c>
      <c r="F16" s="48">
        <v>-0.2</v>
      </c>
      <c r="G16" s="48">
        <v>-0.3</v>
      </c>
      <c r="H16" s="48">
        <v>-0.15</v>
      </c>
      <c r="I16" s="125">
        <v>0.2</v>
      </c>
      <c r="J16" s="126"/>
      <c r="K16" s="125">
        <v>0.4</v>
      </c>
      <c r="L16" s="126"/>
      <c r="M16" s="125">
        <v>0.55000000000000004</v>
      </c>
      <c r="N16" s="126"/>
      <c r="O16" s="125">
        <v>0.9</v>
      </c>
      <c r="P16" s="126"/>
      <c r="Q16" s="19"/>
      <c r="R16" s="19"/>
      <c r="S16" s="19"/>
      <c r="T16" s="19"/>
      <c r="U16" s="19"/>
    </row>
    <row r="17" spans="2:21" ht="21" x14ac:dyDescent="0.3">
      <c r="B17" s="23" t="s">
        <v>13</v>
      </c>
      <c r="C17" s="37">
        <f>'Y1a - Y2a'!N36+'Y1a - Y2a'!P36</f>
        <v>-0.21897592841628893</v>
      </c>
      <c r="D17" s="37">
        <f>'Y1a - Y2a'!N64+'Y1a - Y2a'!P64</f>
        <v>-3.2564810657360055E-2</v>
      </c>
      <c r="E17" s="17"/>
      <c r="F17" s="17"/>
      <c r="G17" s="18"/>
      <c r="H17" s="18"/>
      <c r="I17" s="92">
        <f>IF(D17&lt;=$H$15,IF(D17&gt;$G$15,1,0))</f>
        <v>1</v>
      </c>
      <c r="J17" s="92">
        <f>IF(C17&lt;=$F$15,IF(C17&gt;$E$15,1,0))</f>
        <v>0</v>
      </c>
      <c r="K17" s="92">
        <f>IF(D17&lt;=$H$15,IF(D17&gt;$G$15,1,0))</f>
        <v>1</v>
      </c>
      <c r="L17" s="92">
        <f>IF(C17&lt;=$F$16,IF(C17&gt;$E$16,1,0))</f>
        <v>1</v>
      </c>
      <c r="M17" s="92" t="b">
        <f>IF(D17&lt;=$H$16,IF(D17&gt;$G$16,1,0))</f>
        <v>0</v>
      </c>
      <c r="N17" s="92">
        <f>IF(C17&lt;=$F$15,IF(C17&gt;=$E$15,1,0))</f>
        <v>0</v>
      </c>
      <c r="O17" s="92" t="b">
        <f>IF(D17&lt;=$H$16,IF(D17&gt;$G$16,1,0))</f>
        <v>0</v>
      </c>
      <c r="P17" s="92">
        <f>IF(C17&lt;=$F$16,IF(C17&gt;=$E$16,1,0))</f>
        <v>1</v>
      </c>
      <c r="Q17" s="16">
        <f>IF(I17+J17=2,$I$16,0)</f>
        <v>0</v>
      </c>
      <c r="R17" s="16">
        <f>IF(K17+L17=2,$K$16,0)</f>
        <v>0.4</v>
      </c>
      <c r="S17" s="16">
        <f>IF(M17+N17=2,$M$16,0)</f>
        <v>0</v>
      </c>
      <c r="T17" s="16">
        <f>IF(O17+P17=2,$O$16,0)</f>
        <v>0</v>
      </c>
      <c r="U17" s="20">
        <f>SUM(Q17:T17)</f>
        <v>0.4</v>
      </c>
    </row>
    <row r="18" spans="2:21" ht="21" x14ac:dyDescent="0.3">
      <c r="B18" s="23" t="s">
        <v>14</v>
      </c>
      <c r="C18" s="37">
        <f>'Y1a - Y2a'!N37+'Y1a - Y2a'!P37</f>
        <v>-1.1691029944589891E-3</v>
      </c>
      <c r="D18" s="37">
        <f>'Y1a - Y2a'!N65+'Y1a - Y2a'!P65</f>
        <v>-3.2564810657360055E-2</v>
      </c>
      <c r="E18" s="17"/>
      <c r="F18" s="17"/>
      <c r="G18" s="18"/>
      <c r="H18" s="18"/>
      <c r="I18" s="92">
        <f t="shared" ref="I18:I35" si="0">IF(D18&lt;=$H$15,IF(D18&gt;$G$15,1,0))</f>
        <v>1</v>
      </c>
      <c r="J18" s="92">
        <f t="shared" ref="J18:J35" si="1">IF(C18&lt;=$F$15,IF(C18&gt;$E$15,1,0))</f>
        <v>1</v>
      </c>
      <c r="K18" s="92">
        <f t="shared" ref="K18:K35" si="2">IF(D18&lt;=$H$15,IF(D18&gt;$G$15,1,0))</f>
        <v>1</v>
      </c>
      <c r="L18" s="92" t="b">
        <f t="shared" ref="L18:L35" si="3">IF(C18&lt;=$F$16,IF(C18&gt;$E$16,1,0))</f>
        <v>0</v>
      </c>
      <c r="M18" s="92" t="b">
        <f t="shared" ref="M18:M35" si="4">IF(D18&lt;=$H$16,IF(D18&gt;$G$16,1,0))</f>
        <v>0</v>
      </c>
      <c r="N18" s="92">
        <f t="shared" ref="N18:N35" si="5">IF(C18&lt;=$F$15,IF(C18&gt;=$E$15,1,0))</f>
        <v>1</v>
      </c>
      <c r="O18" s="92" t="b">
        <f t="shared" ref="O18:O35" si="6">IF(D18&lt;=$H$16,IF(D18&gt;$G$16,1,0))</f>
        <v>0</v>
      </c>
      <c r="P18" s="92" t="b">
        <f t="shared" ref="P18:P35" si="7">IF(C18&lt;=$F$16,IF(C18&gt;=$E$16,1,0))</f>
        <v>0</v>
      </c>
      <c r="Q18" s="16">
        <f>IF(I18+J18=2,$I$16,0)</f>
        <v>0.2</v>
      </c>
      <c r="R18" s="16">
        <f>IF(K18+L18=2,$K$16,0)</f>
        <v>0</v>
      </c>
      <c r="S18" s="16">
        <f>IF(M18+N18=2,$M$16,0)</f>
        <v>0</v>
      </c>
      <c r="T18" s="16">
        <f>IF(O18+P18=2,$O$16,0)</f>
        <v>0</v>
      </c>
      <c r="U18" s="20">
        <f>SUM(Q18:T18)</f>
        <v>0.2</v>
      </c>
    </row>
    <row r="19" spans="2:21" ht="21" x14ac:dyDescent="0.3">
      <c r="B19" s="23" t="s">
        <v>15</v>
      </c>
      <c r="C19" s="37">
        <f>'Y1a - Y2a'!N38+'Y1a - Y2a'!P38</f>
        <v>-2.9929537166936998E-2</v>
      </c>
      <c r="D19" s="37">
        <f>'Y1a - Y2a'!N66+'Y1a - Y2a'!P66</f>
        <v>-3.2564810657360055E-2</v>
      </c>
      <c r="E19" s="17"/>
      <c r="F19" s="17"/>
      <c r="G19" s="18"/>
      <c r="H19" s="18"/>
      <c r="I19" s="92">
        <f t="shared" si="0"/>
        <v>1</v>
      </c>
      <c r="J19" s="92">
        <f t="shared" si="1"/>
        <v>1</v>
      </c>
      <c r="K19" s="92">
        <f t="shared" si="2"/>
        <v>1</v>
      </c>
      <c r="L19" s="92" t="b">
        <f t="shared" si="3"/>
        <v>0</v>
      </c>
      <c r="M19" s="92" t="b">
        <f t="shared" si="4"/>
        <v>0</v>
      </c>
      <c r="N19" s="92">
        <f t="shared" si="5"/>
        <v>1</v>
      </c>
      <c r="O19" s="92" t="b">
        <f t="shared" si="6"/>
        <v>0</v>
      </c>
      <c r="P19" s="92" t="b">
        <f t="shared" si="7"/>
        <v>0</v>
      </c>
      <c r="Q19" s="16">
        <f t="shared" ref="Q19:Q35" si="8">IF(I19+J19=2,$I$16,0)</f>
        <v>0.2</v>
      </c>
      <c r="R19" s="16">
        <f t="shared" ref="R19:R35" si="9">IF(K19+L19=2,$K$16,0)</f>
        <v>0</v>
      </c>
      <c r="S19" s="16">
        <f t="shared" ref="S19:S35" si="10">IF(M19+N19=2,$M$16,0)</f>
        <v>0</v>
      </c>
      <c r="T19" s="16">
        <f t="shared" ref="T19:T35" si="11">IF(O19+P19=2,$O$16,0)</f>
        <v>0</v>
      </c>
      <c r="U19" s="20">
        <f t="shared" ref="U19:U35" si="12">SUM(Q19:T19)</f>
        <v>0.2</v>
      </c>
    </row>
    <row r="20" spans="2:21" ht="21" x14ac:dyDescent="0.3">
      <c r="B20" s="23" t="s">
        <v>16</v>
      </c>
      <c r="C20" s="37">
        <f>'Y1a - Y2a'!N39+'Y1a - Y2a'!P39</f>
        <v>-5.4090540941752994E-2</v>
      </c>
      <c r="D20" s="37">
        <f>'Y1a - Y2a'!N67+'Y1a - Y2a'!P67</f>
        <v>-3.2564810657360055E-2</v>
      </c>
      <c r="E20" s="17"/>
      <c r="F20" s="17"/>
      <c r="G20" s="18"/>
      <c r="H20" s="18"/>
      <c r="I20" s="92">
        <f t="shared" si="0"/>
        <v>1</v>
      </c>
      <c r="J20" s="92">
        <f t="shared" si="1"/>
        <v>1</v>
      </c>
      <c r="K20" s="92">
        <f t="shared" si="2"/>
        <v>1</v>
      </c>
      <c r="L20" s="92" t="b">
        <f t="shared" si="3"/>
        <v>0</v>
      </c>
      <c r="M20" s="92" t="b">
        <f t="shared" si="4"/>
        <v>0</v>
      </c>
      <c r="N20" s="92">
        <f t="shared" si="5"/>
        <v>1</v>
      </c>
      <c r="O20" s="92" t="b">
        <f t="shared" si="6"/>
        <v>0</v>
      </c>
      <c r="P20" s="92" t="b">
        <f t="shared" si="7"/>
        <v>0</v>
      </c>
      <c r="Q20" s="16">
        <f t="shared" si="8"/>
        <v>0.2</v>
      </c>
      <c r="R20" s="16">
        <f t="shared" si="9"/>
        <v>0</v>
      </c>
      <c r="S20" s="16">
        <f t="shared" si="10"/>
        <v>0</v>
      </c>
      <c r="T20" s="16">
        <f t="shared" si="11"/>
        <v>0</v>
      </c>
      <c r="U20" s="20">
        <f t="shared" si="12"/>
        <v>0.2</v>
      </c>
    </row>
    <row r="21" spans="2:21" ht="21" x14ac:dyDescent="0.3">
      <c r="B21" s="23" t="s">
        <v>17</v>
      </c>
      <c r="C21" s="37">
        <f>'Y1a - Y2a'!N40+'Y1a - Y2a'!P40</f>
        <v>-9.0011571032777044E-2</v>
      </c>
      <c r="D21" s="37">
        <f>'Y1a - Y2a'!N68+'Y1a - Y2a'!P68</f>
        <v>-3.2564810657360055E-2</v>
      </c>
      <c r="E21" s="17"/>
      <c r="F21" s="17"/>
      <c r="G21" s="18"/>
      <c r="H21" s="18"/>
      <c r="I21" s="92">
        <f t="shared" si="0"/>
        <v>1</v>
      </c>
      <c r="J21" s="92">
        <f t="shared" si="1"/>
        <v>1</v>
      </c>
      <c r="K21" s="92">
        <f t="shared" si="2"/>
        <v>1</v>
      </c>
      <c r="L21" s="92" t="b">
        <f t="shared" si="3"/>
        <v>0</v>
      </c>
      <c r="M21" s="92" t="b">
        <f t="shared" si="4"/>
        <v>0</v>
      </c>
      <c r="N21" s="92">
        <f t="shared" si="5"/>
        <v>1</v>
      </c>
      <c r="O21" s="92" t="b">
        <f t="shared" si="6"/>
        <v>0</v>
      </c>
      <c r="P21" s="92" t="b">
        <f t="shared" si="7"/>
        <v>0</v>
      </c>
      <c r="Q21" s="16">
        <f t="shared" si="8"/>
        <v>0.2</v>
      </c>
      <c r="R21" s="16">
        <f t="shared" si="9"/>
        <v>0</v>
      </c>
      <c r="S21" s="16">
        <f t="shared" si="10"/>
        <v>0</v>
      </c>
      <c r="T21" s="16">
        <f t="shared" si="11"/>
        <v>0</v>
      </c>
      <c r="U21" s="20">
        <f t="shared" si="12"/>
        <v>0.2</v>
      </c>
    </row>
    <row r="22" spans="2:21" ht="21" x14ac:dyDescent="0.3">
      <c r="B22" s="23" t="s">
        <v>18</v>
      </c>
      <c r="C22" s="37">
        <f>'Y1a - Y2a'!N41+'Y1a - Y2a'!P41</f>
        <v>-0.11896161133513466</v>
      </c>
      <c r="D22" s="37">
        <f>'Y1a - Y2a'!N69+'Y1a - Y2a'!P69</f>
        <v>-3.2564810657360055E-2</v>
      </c>
      <c r="E22" s="17"/>
      <c r="F22" s="17"/>
      <c r="G22" s="18"/>
      <c r="H22" s="18"/>
      <c r="I22" s="92">
        <f t="shared" si="0"/>
        <v>1</v>
      </c>
      <c r="J22" s="92">
        <f t="shared" si="1"/>
        <v>1</v>
      </c>
      <c r="K22" s="92">
        <f t="shared" si="2"/>
        <v>1</v>
      </c>
      <c r="L22" s="92" t="b">
        <f t="shared" si="3"/>
        <v>0</v>
      </c>
      <c r="M22" s="92" t="b">
        <f t="shared" si="4"/>
        <v>0</v>
      </c>
      <c r="N22" s="92">
        <f t="shared" si="5"/>
        <v>1</v>
      </c>
      <c r="O22" s="92" t="b">
        <f t="shared" si="6"/>
        <v>0</v>
      </c>
      <c r="P22" s="92" t="b">
        <f t="shared" si="7"/>
        <v>0</v>
      </c>
      <c r="Q22" s="16">
        <f t="shared" si="8"/>
        <v>0.2</v>
      </c>
      <c r="R22" s="16">
        <f t="shared" si="9"/>
        <v>0</v>
      </c>
      <c r="S22" s="16">
        <f t="shared" si="10"/>
        <v>0</v>
      </c>
      <c r="T22" s="16">
        <f t="shared" si="11"/>
        <v>0</v>
      </c>
      <c r="U22" s="20">
        <f t="shared" si="12"/>
        <v>0.2</v>
      </c>
    </row>
    <row r="23" spans="2:21" ht="21" x14ac:dyDescent="0.3">
      <c r="B23" s="23" t="s">
        <v>19</v>
      </c>
      <c r="C23" s="37">
        <f>'Y1a - Y2a'!N42+'Y1a - Y2a'!P42</f>
        <v>-0.12512825618242029</v>
      </c>
      <c r="D23" s="37">
        <f>'Y1a - Y2a'!N70+'Y1a - Y2a'!P70</f>
        <v>-3.2564810657360055E-2</v>
      </c>
      <c r="E23" s="17"/>
      <c r="F23" s="17"/>
      <c r="G23" s="18"/>
      <c r="H23" s="18"/>
      <c r="I23" s="92">
        <f t="shared" si="0"/>
        <v>1</v>
      </c>
      <c r="J23" s="92">
        <f t="shared" si="1"/>
        <v>1</v>
      </c>
      <c r="K23" s="92">
        <f t="shared" si="2"/>
        <v>1</v>
      </c>
      <c r="L23" s="92" t="b">
        <f t="shared" si="3"/>
        <v>0</v>
      </c>
      <c r="M23" s="92" t="b">
        <f t="shared" si="4"/>
        <v>0</v>
      </c>
      <c r="N23" s="92">
        <f t="shared" si="5"/>
        <v>1</v>
      </c>
      <c r="O23" s="92" t="b">
        <f t="shared" si="6"/>
        <v>0</v>
      </c>
      <c r="P23" s="92" t="b">
        <f t="shared" si="7"/>
        <v>0</v>
      </c>
      <c r="Q23" s="16">
        <f t="shared" si="8"/>
        <v>0.2</v>
      </c>
      <c r="R23" s="16">
        <f t="shared" si="9"/>
        <v>0</v>
      </c>
      <c r="S23" s="16">
        <f t="shared" si="10"/>
        <v>0</v>
      </c>
      <c r="T23" s="16">
        <f t="shared" si="11"/>
        <v>0</v>
      </c>
      <c r="U23" s="20">
        <f t="shared" si="12"/>
        <v>0.2</v>
      </c>
    </row>
    <row r="24" spans="2:21" ht="21" x14ac:dyDescent="0.3">
      <c r="B24" s="23" t="s">
        <v>20</v>
      </c>
      <c r="C24" s="37">
        <f>'Y1a - Y2a'!N43+'Y1a - Y2a'!P43</f>
        <v>-0.18880752396400155</v>
      </c>
      <c r="D24" s="37">
        <f>'Y1a - Y2a'!N71+'Y1a - Y2a'!P71</f>
        <v>-3.2564810657360055E-2</v>
      </c>
      <c r="E24" s="17"/>
      <c r="F24" s="17"/>
      <c r="G24" s="18"/>
      <c r="H24" s="18"/>
      <c r="I24" s="92">
        <f t="shared" si="0"/>
        <v>1</v>
      </c>
      <c r="J24" s="92">
        <f t="shared" si="1"/>
        <v>1</v>
      </c>
      <c r="K24" s="92">
        <f t="shared" si="2"/>
        <v>1</v>
      </c>
      <c r="L24" s="92" t="b">
        <f t="shared" si="3"/>
        <v>0</v>
      </c>
      <c r="M24" s="92" t="b">
        <f t="shared" si="4"/>
        <v>0</v>
      </c>
      <c r="N24" s="92">
        <f t="shared" si="5"/>
        <v>1</v>
      </c>
      <c r="O24" s="92" t="b">
        <f t="shared" si="6"/>
        <v>0</v>
      </c>
      <c r="P24" s="92" t="b">
        <f t="shared" si="7"/>
        <v>0</v>
      </c>
      <c r="Q24" s="16">
        <f t="shared" si="8"/>
        <v>0.2</v>
      </c>
      <c r="R24" s="16">
        <f t="shared" si="9"/>
        <v>0</v>
      </c>
      <c r="S24" s="16">
        <f t="shared" si="10"/>
        <v>0</v>
      </c>
      <c r="T24" s="16">
        <f t="shared" si="11"/>
        <v>0</v>
      </c>
      <c r="U24" s="20">
        <f t="shared" si="12"/>
        <v>0.2</v>
      </c>
    </row>
    <row r="25" spans="2:21" ht="21" x14ac:dyDescent="0.3">
      <c r="B25" s="23" t="s">
        <v>21</v>
      </c>
      <c r="C25" s="37">
        <f>'Y1a - Y2a'!N44+'Y1a - Y2a'!P44</f>
        <v>-0.25865383203402115</v>
      </c>
      <c r="D25" s="37">
        <f>'Y1a - Y2a'!N72+'Y1a - Y2a'!P72</f>
        <v>-3.2564810657360055E-2</v>
      </c>
      <c r="E25" s="17"/>
      <c r="F25" s="17"/>
      <c r="G25" s="18"/>
      <c r="H25" s="18"/>
      <c r="I25" s="92">
        <f t="shared" si="0"/>
        <v>1</v>
      </c>
      <c r="J25" s="92">
        <f t="shared" si="1"/>
        <v>0</v>
      </c>
      <c r="K25" s="92">
        <f t="shared" si="2"/>
        <v>1</v>
      </c>
      <c r="L25" s="92">
        <f t="shared" si="3"/>
        <v>1</v>
      </c>
      <c r="M25" s="92" t="b">
        <f t="shared" si="4"/>
        <v>0</v>
      </c>
      <c r="N25" s="92">
        <f t="shared" si="5"/>
        <v>0</v>
      </c>
      <c r="O25" s="92" t="b">
        <f t="shared" si="6"/>
        <v>0</v>
      </c>
      <c r="P25" s="92">
        <f t="shared" si="7"/>
        <v>1</v>
      </c>
      <c r="Q25" s="16">
        <f t="shared" si="8"/>
        <v>0</v>
      </c>
      <c r="R25" s="16">
        <f t="shared" si="9"/>
        <v>0.4</v>
      </c>
      <c r="S25" s="16">
        <f t="shared" si="10"/>
        <v>0</v>
      </c>
      <c r="T25" s="16">
        <f t="shared" si="11"/>
        <v>0</v>
      </c>
      <c r="U25" s="20">
        <f t="shared" si="12"/>
        <v>0.4</v>
      </c>
    </row>
    <row r="26" spans="2:21" ht="21" x14ac:dyDescent="0.3">
      <c r="B26" s="23" t="s">
        <v>22</v>
      </c>
      <c r="C26" s="37">
        <f>'Y1a - Y2a'!N45+'Y1a - Y2a'!P45</f>
        <v>-0.20875030346804777</v>
      </c>
      <c r="D26" s="37">
        <f>'Y1a - Y2a'!N73+'Y1a - Y2a'!P73</f>
        <v>-3.2564810657360055E-2</v>
      </c>
      <c r="E26" s="17"/>
      <c r="F26" s="17"/>
      <c r="G26" s="18"/>
      <c r="H26" s="18"/>
      <c r="I26" s="92">
        <f t="shared" si="0"/>
        <v>1</v>
      </c>
      <c r="J26" s="92">
        <f t="shared" si="1"/>
        <v>0</v>
      </c>
      <c r="K26" s="92">
        <f t="shared" si="2"/>
        <v>1</v>
      </c>
      <c r="L26" s="92">
        <f t="shared" si="3"/>
        <v>1</v>
      </c>
      <c r="M26" s="92" t="b">
        <f t="shared" si="4"/>
        <v>0</v>
      </c>
      <c r="N26" s="92">
        <f t="shared" si="5"/>
        <v>0</v>
      </c>
      <c r="O26" s="92" t="b">
        <f t="shared" si="6"/>
        <v>0</v>
      </c>
      <c r="P26" s="92">
        <f t="shared" si="7"/>
        <v>1</v>
      </c>
      <c r="Q26" s="16">
        <f t="shared" si="8"/>
        <v>0</v>
      </c>
      <c r="R26" s="16">
        <f t="shared" si="9"/>
        <v>0.4</v>
      </c>
      <c r="S26" s="16">
        <f t="shared" si="10"/>
        <v>0</v>
      </c>
      <c r="T26" s="16">
        <f t="shared" si="11"/>
        <v>0</v>
      </c>
      <c r="U26" s="20">
        <f t="shared" si="12"/>
        <v>0.4</v>
      </c>
    </row>
    <row r="27" spans="2:21" ht="21" x14ac:dyDescent="0.3">
      <c r="B27" s="23" t="s">
        <v>23</v>
      </c>
      <c r="C27" s="37">
        <f>'Y1a - Y2a'!N46+'Y1a - Y2a'!P46</f>
        <v>-9.9323181632808288E-2</v>
      </c>
      <c r="D27" s="37">
        <f>'Y1a - Y2a'!N74+'Y1a - Y2a'!P74</f>
        <v>-3.2564810657360055E-2</v>
      </c>
      <c r="E27" s="17"/>
      <c r="F27" s="17"/>
      <c r="G27" s="18"/>
      <c r="H27" s="18"/>
      <c r="I27" s="92">
        <f t="shared" si="0"/>
        <v>1</v>
      </c>
      <c r="J27" s="92">
        <f t="shared" si="1"/>
        <v>1</v>
      </c>
      <c r="K27" s="92">
        <f t="shared" si="2"/>
        <v>1</v>
      </c>
      <c r="L27" s="92" t="b">
        <f t="shared" si="3"/>
        <v>0</v>
      </c>
      <c r="M27" s="92" t="b">
        <f t="shared" si="4"/>
        <v>0</v>
      </c>
      <c r="N27" s="92">
        <f t="shared" si="5"/>
        <v>1</v>
      </c>
      <c r="O27" s="92" t="b">
        <f t="shared" si="6"/>
        <v>0</v>
      </c>
      <c r="P27" s="92" t="b">
        <f t="shared" si="7"/>
        <v>0</v>
      </c>
      <c r="Q27" s="16">
        <f t="shared" si="8"/>
        <v>0.2</v>
      </c>
      <c r="R27" s="16">
        <f t="shared" si="9"/>
        <v>0</v>
      </c>
      <c r="S27" s="16">
        <f t="shared" si="10"/>
        <v>0</v>
      </c>
      <c r="T27" s="16">
        <f t="shared" si="11"/>
        <v>0</v>
      </c>
      <c r="U27" s="20">
        <f t="shared" si="12"/>
        <v>0.2</v>
      </c>
    </row>
    <row r="28" spans="2:21" ht="21" x14ac:dyDescent="0.3">
      <c r="B28" s="23" t="s">
        <v>24</v>
      </c>
      <c r="C28" s="37">
        <f>'Y1a - Y2a'!N47+'Y1a - Y2a'!P47</f>
        <v>-0.14690258016038632</v>
      </c>
      <c r="D28" s="37">
        <f>'Y1a - Y2a'!N75+'Y1a - Y2a'!P75</f>
        <v>-3.2564810657360055E-2</v>
      </c>
      <c r="E28" s="17"/>
      <c r="F28" s="17"/>
      <c r="G28" s="18"/>
      <c r="H28" s="18"/>
      <c r="I28" s="92">
        <f t="shared" si="0"/>
        <v>1</v>
      </c>
      <c r="J28" s="92">
        <f t="shared" si="1"/>
        <v>1</v>
      </c>
      <c r="K28" s="92">
        <f t="shared" si="2"/>
        <v>1</v>
      </c>
      <c r="L28" s="92" t="b">
        <f t="shared" si="3"/>
        <v>0</v>
      </c>
      <c r="M28" s="92" t="b">
        <f t="shared" si="4"/>
        <v>0</v>
      </c>
      <c r="N28" s="92">
        <f t="shared" si="5"/>
        <v>1</v>
      </c>
      <c r="O28" s="92" t="b">
        <f t="shared" si="6"/>
        <v>0</v>
      </c>
      <c r="P28" s="92" t="b">
        <f t="shared" si="7"/>
        <v>0</v>
      </c>
      <c r="Q28" s="16">
        <f t="shared" si="8"/>
        <v>0.2</v>
      </c>
      <c r="R28" s="16">
        <f t="shared" si="9"/>
        <v>0</v>
      </c>
      <c r="S28" s="16">
        <f t="shared" si="10"/>
        <v>0</v>
      </c>
      <c r="T28" s="16">
        <f t="shared" si="11"/>
        <v>0</v>
      </c>
      <c r="U28" s="20">
        <f t="shared" si="12"/>
        <v>0.2</v>
      </c>
    </row>
    <row r="29" spans="2:21" ht="21" x14ac:dyDescent="0.3">
      <c r="B29" s="23" t="s">
        <v>25</v>
      </c>
      <c r="C29" s="37">
        <f>'Y1a - Y2a'!N48+'Y1a - Y2a'!P48</f>
        <v>0</v>
      </c>
      <c r="D29" s="37">
        <f>'Y1a - Y2a'!N76+'Y1a - Y2a'!P76</f>
        <v>-3.2564810657360055E-2</v>
      </c>
      <c r="E29" s="17"/>
      <c r="F29" s="17"/>
      <c r="G29" s="18"/>
      <c r="H29" s="18"/>
      <c r="I29" s="92">
        <f t="shared" si="0"/>
        <v>1</v>
      </c>
      <c r="J29" s="92">
        <f t="shared" si="1"/>
        <v>1</v>
      </c>
      <c r="K29" s="92">
        <f t="shared" si="2"/>
        <v>1</v>
      </c>
      <c r="L29" s="92" t="b">
        <f t="shared" si="3"/>
        <v>0</v>
      </c>
      <c r="M29" s="92" t="b">
        <f t="shared" si="4"/>
        <v>0</v>
      </c>
      <c r="N29" s="92">
        <f t="shared" si="5"/>
        <v>1</v>
      </c>
      <c r="O29" s="92" t="b">
        <f t="shared" si="6"/>
        <v>0</v>
      </c>
      <c r="P29" s="92" t="b">
        <f t="shared" si="7"/>
        <v>0</v>
      </c>
      <c r="Q29" s="16">
        <f t="shared" si="8"/>
        <v>0.2</v>
      </c>
      <c r="R29" s="16">
        <f t="shared" si="9"/>
        <v>0</v>
      </c>
      <c r="S29" s="16">
        <f t="shared" si="10"/>
        <v>0</v>
      </c>
      <c r="T29" s="16">
        <f t="shared" si="11"/>
        <v>0</v>
      </c>
      <c r="U29" s="20">
        <f t="shared" si="12"/>
        <v>0.2</v>
      </c>
    </row>
    <row r="30" spans="2:21" ht="21" x14ac:dyDescent="0.3">
      <c r="B30" s="23" t="s">
        <v>26</v>
      </c>
      <c r="C30" s="37">
        <f>'Y1a - Y2a'!N49+'Y1a - Y2a'!P49</f>
        <v>-0.11642516852607161</v>
      </c>
      <c r="D30" s="37">
        <f>'Y1a - Y2a'!N77+'Y1a - Y2a'!P77</f>
        <v>-3.2564810657360055E-2</v>
      </c>
      <c r="E30" s="17"/>
      <c r="F30" s="17"/>
      <c r="G30" s="18"/>
      <c r="H30" s="18"/>
      <c r="I30" s="92">
        <f t="shared" si="0"/>
        <v>1</v>
      </c>
      <c r="J30" s="92">
        <f t="shared" si="1"/>
        <v>1</v>
      </c>
      <c r="K30" s="92">
        <f t="shared" si="2"/>
        <v>1</v>
      </c>
      <c r="L30" s="92" t="b">
        <f t="shared" si="3"/>
        <v>0</v>
      </c>
      <c r="M30" s="92" t="b">
        <f t="shared" si="4"/>
        <v>0</v>
      </c>
      <c r="N30" s="92">
        <f t="shared" si="5"/>
        <v>1</v>
      </c>
      <c r="O30" s="92" t="b">
        <f t="shared" si="6"/>
        <v>0</v>
      </c>
      <c r="P30" s="92" t="b">
        <f t="shared" si="7"/>
        <v>0</v>
      </c>
      <c r="Q30" s="16">
        <f t="shared" si="8"/>
        <v>0.2</v>
      </c>
      <c r="R30" s="16">
        <f t="shared" si="9"/>
        <v>0</v>
      </c>
      <c r="S30" s="16">
        <f t="shared" si="10"/>
        <v>0</v>
      </c>
      <c r="T30" s="16">
        <f t="shared" si="11"/>
        <v>0</v>
      </c>
      <c r="U30" s="20">
        <f t="shared" si="12"/>
        <v>0.2</v>
      </c>
    </row>
    <row r="31" spans="2:21" ht="21" x14ac:dyDescent="0.3">
      <c r="B31" s="23" t="s">
        <v>27</v>
      </c>
      <c r="C31" s="37">
        <f>'Y1a - Y2a'!N50+'Y1a - Y2a'!P50</f>
        <v>-0.10959934528939959</v>
      </c>
      <c r="D31" s="37">
        <f>'Y1a - Y2a'!N78+'Y1a - Y2a'!P78</f>
        <v>-3.2564810657360055E-2</v>
      </c>
      <c r="E31" s="17"/>
      <c r="F31" s="17"/>
      <c r="G31" s="18"/>
      <c r="H31" s="18"/>
      <c r="I31" s="92">
        <f t="shared" si="0"/>
        <v>1</v>
      </c>
      <c r="J31" s="92">
        <f t="shared" si="1"/>
        <v>1</v>
      </c>
      <c r="K31" s="92">
        <f t="shared" si="2"/>
        <v>1</v>
      </c>
      <c r="L31" s="92" t="b">
        <f t="shared" si="3"/>
        <v>0</v>
      </c>
      <c r="M31" s="92" t="b">
        <f t="shared" si="4"/>
        <v>0</v>
      </c>
      <c r="N31" s="92">
        <f t="shared" si="5"/>
        <v>1</v>
      </c>
      <c r="O31" s="92" t="b">
        <f t="shared" si="6"/>
        <v>0</v>
      </c>
      <c r="P31" s="92" t="b">
        <f t="shared" si="7"/>
        <v>0</v>
      </c>
      <c r="Q31" s="16">
        <f t="shared" si="8"/>
        <v>0.2</v>
      </c>
      <c r="R31" s="16">
        <f t="shared" si="9"/>
        <v>0</v>
      </c>
      <c r="S31" s="16">
        <f t="shared" si="10"/>
        <v>0</v>
      </c>
      <c r="T31" s="16">
        <f t="shared" si="11"/>
        <v>0</v>
      </c>
      <c r="U31" s="20">
        <f t="shared" si="12"/>
        <v>0.2</v>
      </c>
    </row>
    <row r="32" spans="2:21" ht="21" x14ac:dyDescent="0.3">
      <c r="B32" s="23" t="s">
        <v>28</v>
      </c>
      <c r="C32" s="37">
        <f>'Y1a - Y2a'!N51+'Y1a - Y2a'!P51</f>
        <v>-5.0254004127075411E-2</v>
      </c>
      <c r="D32" s="37">
        <f>'Y1a - Y2a'!N79+'Y1a - Y2a'!P79</f>
        <v>-3.2564810657360055E-2</v>
      </c>
      <c r="E32" s="17"/>
      <c r="F32" s="17"/>
      <c r="G32" s="18"/>
      <c r="H32" s="18"/>
      <c r="I32" s="92">
        <f t="shared" si="0"/>
        <v>1</v>
      </c>
      <c r="J32" s="92">
        <f t="shared" si="1"/>
        <v>1</v>
      </c>
      <c r="K32" s="92">
        <f t="shared" si="2"/>
        <v>1</v>
      </c>
      <c r="L32" s="92" t="b">
        <f t="shared" si="3"/>
        <v>0</v>
      </c>
      <c r="M32" s="92" t="b">
        <f t="shared" si="4"/>
        <v>0</v>
      </c>
      <c r="N32" s="92">
        <f t="shared" si="5"/>
        <v>1</v>
      </c>
      <c r="O32" s="92" t="b">
        <f t="shared" si="6"/>
        <v>0</v>
      </c>
      <c r="P32" s="92" t="b">
        <f t="shared" si="7"/>
        <v>0</v>
      </c>
      <c r="Q32" s="16">
        <f t="shared" si="8"/>
        <v>0.2</v>
      </c>
      <c r="R32" s="16">
        <f t="shared" si="9"/>
        <v>0</v>
      </c>
      <c r="S32" s="16">
        <f t="shared" si="10"/>
        <v>0</v>
      </c>
      <c r="T32" s="16">
        <f t="shared" si="11"/>
        <v>0</v>
      </c>
      <c r="U32" s="20">
        <f t="shared" si="12"/>
        <v>0.2</v>
      </c>
    </row>
    <row r="33" spans="2:21" ht="21" x14ac:dyDescent="0.3">
      <c r="B33" s="23" t="s">
        <v>29</v>
      </c>
      <c r="C33" s="37">
        <f>'Y1a - Y2a'!N52+'Y1a - Y2a'!P52</f>
        <v>0</v>
      </c>
      <c r="D33" s="37">
        <f>'Y1a - Y2a'!N80+'Y1a - Y2a'!P80</f>
        <v>-3.2564810657360055E-2</v>
      </c>
      <c r="E33" s="17"/>
      <c r="F33" s="17"/>
      <c r="G33" s="18"/>
      <c r="H33" s="18"/>
      <c r="I33" s="92">
        <f t="shared" si="0"/>
        <v>1</v>
      </c>
      <c r="J33" s="92">
        <f t="shared" si="1"/>
        <v>1</v>
      </c>
      <c r="K33" s="92">
        <f t="shared" si="2"/>
        <v>1</v>
      </c>
      <c r="L33" s="92" t="b">
        <f t="shared" si="3"/>
        <v>0</v>
      </c>
      <c r="M33" s="92" t="b">
        <f t="shared" si="4"/>
        <v>0</v>
      </c>
      <c r="N33" s="92">
        <f t="shared" si="5"/>
        <v>1</v>
      </c>
      <c r="O33" s="92" t="b">
        <f t="shared" si="6"/>
        <v>0</v>
      </c>
      <c r="P33" s="92" t="b">
        <f t="shared" si="7"/>
        <v>0</v>
      </c>
      <c r="Q33" s="16">
        <f t="shared" si="8"/>
        <v>0.2</v>
      </c>
      <c r="R33" s="16">
        <f t="shared" si="9"/>
        <v>0</v>
      </c>
      <c r="S33" s="16">
        <f t="shared" si="10"/>
        <v>0</v>
      </c>
      <c r="T33" s="16">
        <f t="shared" si="11"/>
        <v>0</v>
      </c>
      <c r="U33" s="20">
        <f t="shared" si="12"/>
        <v>0.2</v>
      </c>
    </row>
    <row r="34" spans="2:21" ht="21" x14ac:dyDescent="0.3">
      <c r="B34" s="23" t="s">
        <v>30</v>
      </c>
      <c r="C34" s="37">
        <f>'Y1a - Y2a'!N53+'Y1a - Y2a'!P53</f>
        <v>-5.9584271841046817E-2</v>
      </c>
      <c r="D34" s="37">
        <f>'Y1a - Y2a'!N81+'Y1a - Y2a'!P81</f>
        <v>-3.2564810657360055E-2</v>
      </c>
      <c r="E34" s="17"/>
      <c r="F34" s="17"/>
      <c r="G34" s="18"/>
      <c r="H34" s="18"/>
      <c r="I34" s="92">
        <f t="shared" si="0"/>
        <v>1</v>
      </c>
      <c r="J34" s="92">
        <f t="shared" si="1"/>
        <v>1</v>
      </c>
      <c r="K34" s="92">
        <f t="shared" si="2"/>
        <v>1</v>
      </c>
      <c r="L34" s="92" t="b">
        <f t="shared" si="3"/>
        <v>0</v>
      </c>
      <c r="M34" s="92" t="b">
        <f t="shared" si="4"/>
        <v>0</v>
      </c>
      <c r="N34" s="92">
        <f t="shared" si="5"/>
        <v>1</v>
      </c>
      <c r="O34" s="92" t="b">
        <f t="shared" si="6"/>
        <v>0</v>
      </c>
      <c r="P34" s="92" t="b">
        <f t="shared" si="7"/>
        <v>0</v>
      </c>
      <c r="Q34" s="16">
        <f t="shared" si="8"/>
        <v>0.2</v>
      </c>
      <c r="R34" s="16">
        <f t="shared" si="9"/>
        <v>0</v>
      </c>
      <c r="S34" s="16">
        <f t="shared" si="10"/>
        <v>0</v>
      </c>
      <c r="T34" s="16">
        <f t="shared" si="11"/>
        <v>0</v>
      </c>
      <c r="U34" s="20">
        <f t="shared" si="12"/>
        <v>0.2</v>
      </c>
    </row>
    <row r="35" spans="2:21" ht="21" x14ac:dyDescent="0.3">
      <c r="B35" s="23" t="s">
        <v>31</v>
      </c>
      <c r="C35" s="37">
        <f>'Y1a - Y2a'!N54+'Y1a - Y2a'!P54</f>
        <v>-0.12386399326765425</v>
      </c>
      <c r="D35" s="37">
        <f>'Y1a - Y2a'!N82+'Y1a - Y2a'!P82</f>
        <v>-3.2564810657360055E-2</v>
      </c>
      <c r="E35" s="17"/>
      <c r="F35" s="17"/>
      <c r="G35" s="18"/>
      <c r="H35" s="18"/>
      <c r="I35" s="92">
        <f t="shared" si="0"/>
        <v>1</v>
      </c>
      <c r="J35" s="92">
        <f t="shared" si="1"/>
        <v>1</v>
      </c>
      <c r="K35" s="92">
        <f t="shared" si="2"/>
        <v>1</v>
      </c>
      <c r="L35" s="92" t="b">
        <f t="shared" si="3"/>
        <v>0</v>
      </c>
      <c r="M35" s="92" t="b">
        <f t="shared" si="4"/>
        <v>0</v>
      </c>
      <c r="N35" s="92">
        <f t="shared" si="5"/>
        <v>1</v>
      </c>
      <c r="O35" s="92" t="b">
        <f t="shared" si="6"/>
        <v>0</v>
      </c>
      <c r="P35" s="92" t="b">
        <f t="shared" si="7"/>
        <v>0</v>
      </c>
      <c r="Q35" s="16">
        <f t="shared" si="8"/>
        <v>0.2</v>
      </c>
      <c r="R35" s="16">
        <f t="shared" si="9"/>
        <v>0</v>
      </c>
      <c r="S35" s="16">
        <f t="shared" si="10"/>
        <v>0</v>
      </c>
      <c r="T35" s="16">
        <f t="shared" si="11"/>
        <v>0</v>
      </c>
      <c r="U35" s="20">
        <f t="shared" si="12"/>
        <v>0.2</v>
      </c>
    </row>
  </sheetData>
  <mergeCells count="7">
    <mergeCell ref="M16:N16"/>
    <mergeCell ref="O16:P16"/>
    <mergeCell ref="I14:U15"/>
    <mergeCell ref="E14:F14"/>
    <mergeCell ref="G14:H14"/>
    <mergeCell ref="I16:J16"/>
    <mergeCell ref="K16:L16"/>
  </mergeCells>
  <pageMargins left="0.7" right="0.7" top="0.75" bottom="0.75" header="0.3" footer="0.3"/>
  <pageSetup paperSize="8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44"/>
  <sheetViews>
    <sheetView topLeftCell="A18" workbookViewId="0">
      <selection activeCell="C18" sqref="C18:F18"/>
    </sheetView>
  </sheetViews>
  <sheetFormatPr defaultColWidth="9.109375" defaultRowHeight="14.4" x14ac:dyDescent="0.3"/>
  <cols>
    <col min="1" max="1" width="9.109375" style="1"/>
    <col min="2" max="2" width="30.109375" style="1" customWidth="1"/>
    <col min="3" max="6" width="18.6640625" style="1" customWidth="1"/>
    <col min="7" max="7" width="12.5546875" style="1" customWidth="1"/>
    <col min="8" max="8" width="14" style="1" customWidth="1"/>
    <col min="9" max="17" width="15.5546875" style="1" customWidth="1"/>
    <col min="18" max="19" width="25.109375" style="1" customWidth="1"/>
    <col min="20" max="20" width="2.6640625" style="1" customWidth="1"/>
    <col min="21" max="29" width="15.5546875" style="1" customWidth="1"/>
    <col min="30" max="30" width="13" style="1" customWidth="1"/>
    <col min="31" max="16384" width="9.109375" style="1"/>
  </cols>
  <sheetData>
    <row r="2" spans="3:3" x14ac:dyDescent="0.3">
      <c r="C2" s="1" t="s">
        <v>113</v>
      </c>
    </row>
    <row r="3" spans="3:3" x14ac:dyDescent="0.3">
      <c r="C3" s="1" t="s">
        <v>114</v>
      </c>
    </row>
    <row r="18" spans="2:30" ht="100.8" x14ac:dyDescent="0.3">
      <c r="C18" s="107" t="s">
        <v>37</v>
      </c>
      <c r="D18" s="108"/>
      <c r="E18" s="108"/>
      <c r="F18" s="109"/>
      <c r="G18" s="110" t="s">
        <v>91</v>
      </c>
      <c r="H18" s="101" t="s">
        <v>92</v>
      </c>
      <c r="I18" s="5" t="s">
        <v>33</v>
      </c>
      <c r="J18" s="5" t="s">
        <v>5</v>
      </c>
      <c r="K18" s="105" t="s">
        <v>34</v>
      </c>
      <c r="L18" s="106"/>
      <c r="M18" s="21" t="s">
        <v>93</v>
      </c>
      <c r="N18" s="112" t="s">
        <v>104</v>
      </c>
      <c r="O18" s="112"/>
      <c r="P18" s="112"/>
      <c r="Q18" s="112"/>
      <c r="R18" s="112"/>
      <c r="S18" s="112"/>
      <c r="Y18" s="28">
        <f>Y19</f>
        <v>-0.98</v>
      </c>
      <c r="AA18" s="28">
        <f>AA19</f>
        <v>0.98</v>
      </c>
      <c r="AB18" s="1" t="s">
        <v>90</v>
      </c>
    </row>
    <row r="19" spans="2:30" x14ac:dyDescent="0.3">
      <c r="C19" s="22" t="s">
        <v>115</v>
      </c>
      <c r="D19" s="22" t="s">
        <v>39</v>
      </c>
      <c r="E19" s="22" t="s">
        <v>44</v>
      </c>
      <c r="F19" s="22" t="s">
        <v>37</v>
      </c>
      <c r="G19" s="111"/>
      <c r="H19" s="95"/>
      <c r="I19" s="5" t="s">
        <v>0</v>
      </c>
      <c r="J19" s="5" t="s">
        <v>1</v>
      </c>
      <c r="K19" s="5" t="s">
        <v>94</v>
      </c>
      <c r="L19" s="5" t="s">
        <v>36</v>
      </c>
      <c r="M19" s="48">
        <v>0.5</v>
      </c>
      <c r="N19" s="112"/>
      <c r="O19" s="112"/>
      <c r="P19" s="112"/>
      <c r="Q19" s="112"/>
      <c r="R19" s="112"/>
      <c r="S19" s="112"/>
      <c r="U19" s="1" t="s">
        <v>87</v>
      </c>
      <c r="V19" s="1" t="s">
        <v>84</v>
      </c>
      <c r="W19" s="1" t="s">
        <v>85</v>
      </c>
      <c r="X19" s="1" t="s">
        <v>86</v>
      </c>
      <c r="Y19" s="50">
        <v>-0.98</v>
      </c>
      <c r="Z19" s="51">
        <v>0</v>
      </c>
      <c r="AA19" s="50">
        <v>0.98</v>
      </c>
    </row>
    <row r="20" spans="2:30" ht="15" thickBot="1" x14ac:dyDescent="0.35">
      <c r="I20" s="5"/>
      <c r="J20" s="5"/>
      <c r="K20" s="5"/>
      <c r="L20" s="5"/>
      <c r="M20" s="19"/>
      <c r="N20" s="49" t="s">
        <v>95</v>
      </c>
      <c r="O20" s="49" t="s">
        <v>96</v>
      </c>
      <c r="P20" s="49" t="s">
        <v>96</v>
      </c>
      <c r="Q20" s="49" t="s">
        <v>97</v>
      </c>
      <c r="R20" s="19" t="s">
        <v>104</v>
      </c>
      <c r="S20" s="19" t="s">
        <v>45</v>
      </c>
      <c r="Y20" s="51">
        <v>5</v>
      </c>
      <c r="Z20" s="51">
        <v>4</v>
      </c>
      <c r="AA20" s="51">
        <v>3</v>
      </c>
    </row>
    <row r="21" spans="2:30" ht="21.6" thickBot="1" x14ac:dyDescent="0.35">
      <c r="B21" s="23" t="s">
        <v>13</v>
      </c>
      <c r="C21" s="90">
        <v>1771014.2999178371</v>
      </c>
      <c r="D21" s="90">
        <v>1716133.1298193242</v>
      </c>
      <c r="E21" s="84">
        <v>7882.0929999999998</v>
      </c>
      <c r="F21" s="72">
        <f>(C21+D21)/E21</f>
        <v>442.41389054114961</v>
      </c>
      <c r="G21" s="90">
        <v>351.23</v>
      </c>
      <c r="H21" s="90">
        <f>(F21)/G21</f>
        <v>1.2596130471233937</v>
      </c>
      <c r="I21" s="37">
        <f>'Y1a - Y2a'!N36+'Y1a - Y2a'!P36</f>
        <v>-0.21897592841628893</v>
      </c>
      <c r="J21" s="37">
        <f>'Y1a - Y2a'!N64+'Y1a - Y2a'!P64</f>
        <v>-3.2564810657360055E-2</v>
      </c>
      <c r="K21" s="15">
        <f>I21+J21</f>
        <v>-0.25154073907364899</v>
      </c>
      <c r="L21" s="15">
        <f>1+K21</f>
        <v>0.74845926092635096</v>
      </c>
      <c r="M21" s="18" t="s">
        <v>88</v>
      </c>
      <c r="N21" s="16" t="b">
        <f>IF(L21=$M$19,IF(H21&gt;1.05,1,0))</f>
        <v>0</v>
      </c>
      <c r="O21" s="16" t="b">
        <f>IF(L21=$M$19,IF(H21&gt;1.05,1,0))</f>
        <v>0</v>
      </c>
      <c r="P21" s="16">
        <f>IF(L21&gt;$M$19,IF(H21&gt;1.05,1,0))</f>
        <v>1</v>
      </c>
      <c r="Q21" s="16">
        <f>IF(L21&gt;=$M$19,IF(H21&lt;=1.05,1,0))</f>
        <v>0</v>
      </c>
      <c r="R21" s="20" t="str">
        <f t="shared" ref="R21:R39" si="0">IF(N21=1,$N$20,IF(O21=1,$O$20,IF(P21=1,$P$20,IF(Q21=1,$Q$20))))</f>
        <v>Ka &lt;= 5 %</v>
      </c>
      <c r="S21" s="71">
        <f>AD21/10000</f>
        <v>3.0700000000000002E-2</v>
      </c>
      <c r="U21" s="26">
        <f t="shared" ref="U21:U26" si="1">(F21-G21)/G21</f>
        <v>0.25961304712339378</v>
      </c>
      <c r="V21" s="26">
        <f t="shared" ref="V21:V26" si="2">(L21-$M$19)/$M$19</f>
        <v>0.49691852185270191</v>
      </c>
      <c r="W21" s="27">
        <f>V21-U21</f>
        <v>0.23730547472930813</v>
      </c>
      <c r="X21" s="28">
        <f>W21</f>
        <v>0.23730547472930813</v>
      </c>
      <c r="Y21" s="28">
        <f>IF(X21&lt;0,($Y$18-X21)*10%+$Y$20,0)</f>
        <v>0</v>
      </c>
      <c r="Z21" s="28">
        <f>IF(X21=0,$Z$20,0)</f>
        <v>0</v>
      </c>
      <c r="AA21" s="29">
        <f>IF(X21&gt;0,($AA$18-X21)*10%+$AA$20,0)</f>
        <v>3.0742694525270693</v>
      </c>
      <c r="AB21" s="32">
        <f>Y21+Z21+AA21</f>
        <v>3.0742694525270693</v>
      </c>
      <c r="AC21" s="32">
        <f>AB21*100</f>
        <v>307.4269452527069</v>
      </c>
      <c r="AD21" s="32">
        <f>ROUND(AC21,0.0001)</f>
        <v>307</v>
      </c>
    </row>
    <row r="22" spans="2:30" ht="21.6" thickBot="1" x14ac:dyDescent="0.35">
      <c r="B22" s="23" t="s">
        <v>14</v>
      </c>
      <c r="C22" s="90">
        <v>902583.28095742513</v>
      </c>
      <c r="D22" s="90">
        <v>619458.59153531538</v>
      </c>
      <c r="E22" s="84">
        <v>3982.922</v>
      </c>
      <c r="F22" s="72">
        <f t="shared" ref="F22:F39" si="3">(C22+D22)/E22</f>
        <v>382.14202349248626</v>
      </c>
      <c r="G22" s="90">
        <v>295.10000000000002</v>
      </c>
      <c r="H22" s="90">
        <f t="shared" ref="H22:H39" si="4">(F22)/G22</f>
        <v>1.2949577210860259</v>
      </c>
      <c r="I22" s="37">
        <f>'Y1a - Y2a'!N37+'Y1a - Y2a'!P37</f>
        <v>-1.1691029944589891E-3</v>
      </c>
      <c r="J22" s="37">
        <f>'Y1a - Y2a'!N65+'Y1a - Y2a'!P65</f>
        <v>-3.2564810657360055E-2</v>
      </c>
      <c r="K22" s="15">
        <f t="shared" ref="K22:K39" si="5">I22+J22</f>
        <v>-3.3733913651819047E-2</v>
      </c>
      <c r="L22" s="15">
        <f t="shared" ref="L22:L39" si="6">1+K22</f>
        <v>0.9662660863481809</v>
      </c>
      <c r="M22" s="18" t="s">
        <v>88</v>
      </c>
      <c r="N22" s="16" t="b">
        <f t="shared" ref="N22:N39" si="7">IF(L22=$M$19,IF(H22&gt;1.05,1,0))</f>
        <v>0</v>
      </c>
      <c r="O22" s="16" t="b">
        <f t="shared" ref="O22:O39" si="8">IF(L22=$M$19,IF(H22&gt;1.05,1,0))</f>
        <v>0</v>
      </c>
      <c r="P22" s="16">
        <f t="shared" ref="P22:P39" si="9">IF(L22&gt;$M$19,IF(H22&gt;1.05,1,0))</f>
        <v>1</v>
      </c>
      <c r="Q22" s="16">
        <f t="shared" ref="Q22:Q39" si="10">IF(L22&gt;=$M$19,IF(H22&lt;=1.05,1,0))</f>
        <v>0</v>
      </c>
      <c r="R22" s="20" t="str">
        <f t="shared" si="0"/>
        <v>Ka &lt;= 5 %</v>
      </c>
      <c r="S22" s="71">
        <f t="shared" ref="S22:S31" si="11">AD22/10000</f>
        <v>3.0300000000000001E-2</v>
      </c>
      <c r="U22" s="26">
        <f t="shared" si="1"/>
        <v>0.29495772108602586</v>
      </c>
      <c r="V22" s="26">
        <f t="shared" si="2"/>
        <v>0.93253217269636179</v>
      </c>
      <c r="W22" s="27">
        <f t="shared" ref="W22:W39" si="12">V22-U22</f>
        <v>0.63757445161033588</v>
      </c>
      <c r="X22" s="28">
        <f t="shared" ref="X22:X39" si="13">W22</f>
        <v>0.63757445161033588</v>
      </c>
      <c r="Y22" s="28">
        <f t="shared" ref="Y22:Y39" si="14">IF(X22&lt;0,($Y$18-X22)*10%+$Y$20,0)</f>
        <v>0</v>
      </c>
      <c r="Z22" s="28">
        <f t="shared" ref="Z22:Z39" si="15">IF(X22=0,$Z$20,0)</f>
        <v>0</v>
      </c>
      <c r="AA22" s="28">
        <f t="shared" ref="AA22:AA39" si="16">IF(X22&gt;0,($AA$18-X22)*10%+$AA$20,0)</f>
        <v>3.0342425548389662</v>
      </c>
      <c r="AB22" s="31">
        <f t="shared" ref="AB22:AB39" si="17">Y22+Z22+AA22</f>
        <v>3.0342425548389662</v>
      </c>
      <c r="AC22" s="32">
        <f t="shared" ref="AC22:AC39" si="18">AB22*100</f>
        <v>303.42425548389662</v>
      </c>
      <c r="AD22" s="32">
        <f t="shared" ref="AD22:AD39" si="19">ROUND(AC22,0.0001)</f>
        <v>303</v>
      </c>
    </row>
    <row r="23" spans="2:30" ht="21.6" thickBot="1" x14ac:dyDescent="0.35">
      <c r="B23" s="23" t="s">
        <v>15</v>
      </c>
      <c r="C23" s="90">
        <v>709268.49790821027</v>
      </c>
      <c r="D23" s="90">
        <v>329695.38044704765</v>
      </c>
      <c r="E23" s="84">
        <v>2878.8040000000001</v>
      </c>
      <c r="F23" s="72">
        <f t="shared" si="3"/>
        <v>360.90122090814725</v>
      </c>
      <c r="G23" s="90">
        <v>273.05</v>
      </c>
      <c r="H23" s="90">
        <f t="shared" si="4"/>
        <v>1.3217404171695559</v>
      </c>
      <c r="I23" s="37">
        <f>'Y1a - Y2a'!N38+'Y1a - Y2a'!P38</f>
        <v>-2.9929537166936998E-2</v>
      </c>
      <c r="J23" s="37">
        <f>'Y1a - Y2a'!N66+'Y1a - Y2a'!P66</f>
        <v>-3.2564810657360055E-2</v>
      </c>
      <c r="K23" s="15">
        <f t="shared" si="5"/>
        <v>-6.2494347824297053E-2</v>
      </c>
      <c r="L23" s="15">
        <f t="shared" si="6"/>
        <v>0.93750565217570292</v>
      </c>
      <c r="M23" s="18" t="s">
        <v>88</v>
      </c>
      <c r="N23" s="16" t="b">
        <f t="shared" si="7"/>
        <v>0</v>
      </c>
      <c r="O23" s="16" t="b">
        <f t="shared" si="8"/>
        <v>0</v>
      </c>
      <c r="P23" s="16">
        <f t="shared" si="9"/>
        <v>1</v>
      </c>
      <c r="Q23" s="16">
        <f t="shared" si="10"/>
        <v>0</v>
      </c>
      <c r="R23" s="20" t="str">
        <f t="shared" si="0"/>
        <v>Ka &lt;= 5 %</v>
      </c>
      <c r="S23" s="71">
        <f t="shared" si="11"/>
        <v>3.04E-2</v>
      </c>
      <c r="U23" s="26">
        <f t="shared" si="1"/>
        <v>0.32174041716955587</v>
      </c>
      <c r="V23" s="26">
        <f t="shared" si="2"/>
        <v>0.87501130435140584</v>
      </c>
      <c r="W23" s="27">
        <f t="shared" si="12"/>
        <v>0.55327088718184991</v>
      </c>
      <c r="X23" s="28">
        <f t="shared" si="13"/>
        <v>0.55327088718184991</v>
      </c>
      <c r="Y23" s="28">
        <f t="shared" si="14"/>
        <v>0</v>
      </c>
      <c r="Z23" s="28">
        <f t="shared" si="15"/>
        <v>0</v>
      </c>
      <c r="AA23" s="28">
        <f t="shared" si="16"/>
        <v>3.0426729112818149</v>
      </c>
      <c r="AB23" s="31">
        <f t="shared" si="17"/>
        <v>3.0426729112818149</v>
      </c>
      <c r="AC23" s="32">
        <f t="shared" si="18"/>
        <v>304.26729112818151</v>
      </c>
      <c r="AD23" s="32">
        <f t="shared" si="19"/>
        <v>304</v>
      </c>
    </row>
    <row r="24" spans="2:30" ht="21.6" thickBot="1" x14ac:dyDescent="0.35">
      <c r="B24" s="23" t="s">
        <v>16</v>
      </c>
      <c r="C24" s="90">
        <v>743304.63680499233</v>
      </c>
      <c r="D24" s="90">
        <v>685671.48800152692</v>
      </c>
      <c r="E24" s="84">
        <v>4269.1459999999997</v>
      </c>
      <c r="F24" s="72">
        <f t="shared" si="3"/>
        <v>334.72177452036527</v>
      </c>
      <c r="G24" s="90">
        <v>292.54000000000002</v>
      </c>
      <c r="H24" s="90">
        <f t="shared" si="4"/>
        <v>1.1441914764489138</v>
      </c>
      <c r="I24" s="37">
        <f>'Y1a - Y2a'!N39+'Y1a - Y2a'!P39</f>
        <v>-5.4090540941752994E-2</v>
      </c>
      <c r="J24" s="37">
        <f>'Y1a - Y2a'!N67+'Y1a - Y2a'!P67</f>
        <v>-3.2564810657360055E-2</v>
      </c>
      <c r="K24" s="15">
        <f t="shared" si="5"/>
        <v>-8.6655351599113056E-2</v>
      </c>
      <c r="L24" s="15">
        <f t="shared" si="6"/>
        <v>0.91334464840088692</v>
      </c>
      <c r="M24" s="18" t="s">
        <v>88</v>
      </c>
      <c r="N24" s="16" t="b">
        <f t="shared" si="7"/>
        <v>0</v>
      </c>
      <c r="O24" s="16" t="b">
        <f t="shared" si="8"/>
        <v>0</v>
      </c>
      <c r="P24" s="16">
        <f t="shared" si="9"/>
        <v>1</v>
      </c>
      <c r="Q24" s="16">
        <f t="shared" si="10"/>
        <v>0</v>
      </c>
      <c r="R24" s="20" t="str">
        <f t="shared" si="0"/>
        <v>Ka &lt;= 5 %</v>
      </c>
      <c r="S24" s="71">
        <f t="shared" si="11"/>
        <v>3.0300000000000001E-2</v>
      </c>
      <c r="U24" s="26">
        <f t="shared" si="1"/>
        <v>0.14419147644891381</v>
      </c>
      <c r="V24" s="26">
        <f t="shared" si="2"/>
        <v>0.82668929680177383</v>
      </c>
      <c r="W24" s="27">
        <f t="shared" si="12"/>
        <v>0.68249782035286</v>
      </c>
      <c r="X24" s="28">
        <f t="shared" si="13"/>
        <v>0.68249782035286</v>
      </c>
      <c r="Y24" s="28">
        <f t="shared" si="14"/>
        <v>0</v>
      </c>
      <c r="Z24" s="28">
        <f t="shared" si="15"/>
        <v>0</v>
      </c>
      <c r="AA24" s="28">
        <f t="shared" si="16"/>
        <v>3.0297502179647138</v>
      </c>
      <c r="AB24" s="31">
        <f t="shared" si="17"/>
        <v>3.0297502179647138</v>
      </c>
      <c r="AC24" s="32">
        <f t="shared" si="18"/>
        <v>302.97502179647137</v>
      </c>
      <c r="AD24" s="32">
        <f t="shared" si="19"/>
        <v>303</v>
      </c>
    </row>
    <row r="25" spans="2:30" ht="21.6" thickBot="1" x14ac:dyDescent="0.35">
      <c r="B25" s="23" t="s">
        <v>17</v>
      </c>
      <c r="C25" s="90">
        <v>192166.1311026453</v>
      </c>
      <c r="D25" s="90">
        <v>109866.10797308965</v>
      </c>
      <c r="E25" s="84">
        <v>827.94500000000005</v>
      </c>
      <c r="F25" s="72">
        <f t="shared" si="3"/>
        <v>364.79746731453776</v>
      </c>
      <c r="G25" s="90">
        <v>266.42</v>
      </c>
      <c r="H25" s="90">
        <f t="shared" si="4"/>
        <v>1.3692570652148401</v>
      </c>
      <c r="I25" s="37">
        <f>'Y1a - Y2a'!N40+'Y1a - Y2a'!P40</f>
        <v>-9.0011571032777044E-2</v>
      </c>
      <c r="J25" s="37">
        <f>'Y1a - Y2a'!N68+'Y1a - Y2a'!P68</f>
        <v>-3.2564810657360055E-2</v>
      </c>
      <c r="K25" s="15">
        <f t="shared" si="5"/>
        <v>-0.1225763816901371</v>
      </c>
      <c r="L25" s="15">
        <f t="shared" si="6"/>
        <v>0.87742361830986293</v>
      </c>
      <c r="M25" s="18" t="s">
        <v>88</v>
      </c>
      <c r="N25" s="16" t="b">
        <f t="shared" si="7"/>
        <v>0</v>
      </c>
      <c r="O25" s="16" t="b">
        <f t="shared" si="8"/>
        <v>0</v>
      </c>
      <c r="P25" s="16">
        <f t="shared" si="9"/>
        <v>1</v>
      </c>
      <c r="Q25" s="16">
        <f t="shared" si="10"/>
        <v>0</v>
      </c>
      <c r="R25" s="20" t="str">
        <f t="shared" si="0"/>
        <v>Ka &lt;= 5 %</v>
      </c>
      <c r="S25" s="71">
        <f t="shared" si="11"/>
        <v>3.0599999999999999E-2</v>
      </c>
      <c r="U25" s="26">
        <f t="shared" si="1"/>
        <v>0.36925706521484025</v>
      </c>
      <c r="V25" s="26">
        <f t="shared" si="2"/>
        <v>0.75484723661972586</v>
      </c>
      <c r="W25" s="27">
        <f t="shared" si="12"/>
        <v>0.38559017140488561</v>
      </c>
      <c r="X25" s="28">
        <f t="shared" si="13"/>
        <v>0.38559017140488561</v>
      </c>
      <c r="Y25" s="28">
        <f t="shared" si="14"/>
        <v>0</v>
      </c>
      <c r="Z25" s="28">
        <f t="shared" si="15"/>
        <v>0</v>
      </c>
      <c r="AA25" s="28">
        <f t="shared" si="16"/>
        <v>3.0594409828595115</v>
      </c>
      <c r="AB25" s="31">
        <f t="shared" si="17"/>
        <v>3.0594409828595115</v>
      </c>
      <c r="AC25" s="32">
        <f t="shared" si="18"/>
        <v>305.94409828595116</v>
      </c>
      <c r="AD25" s="32">
        <f t="shared" si="19"/>
        <v>306</v>
      </c>
    </row>
    <row r="26" spans="2:30" ht="21.6" thickBot="1" x14ac:dyDescent="0.35">
      <c r="B26" s="23" t="s">
        <v>18</v>
      </c>
      <c r="C26" s="90">
        <v>838933.16891140584</v>
      </c>
      <c r="D26" s="90">
        <v>663023.23350515403</v>
      </c>
      <c r="E26" s="84">
        <v>3827.596</v>
      </c>
      <c r="F26" s="72">
        <f t="shared" si="3"/>
        <v>392.40202007123003</v>
      </c>
      <c r="G26" s="90">
        <v>282.5</v>
      </c>
      <c r="H26" s="90">
        <f t="shared" si="4"/>
        <v>1.3890336993671859</v>
      </c>
      <c r="I26" s="37">
        <f>'Y1a - Y2a'!N41+'Y1a - Y2a'!P41</f>
        <v>-0.11896161133513466</v>
      </c>
      <c r="J26" s="37">
        <f>'Y1a - Y2a'!N69+'Y1a - Y2a'!P69</f>
        <v>-3.2564810657360055E-2</v>
      </c>
      <c r="K26" s="15">
        <f t="shared" si="5"/>
        <v>-0.15152642199249472</v>
      </c>
      <c r="L26" s="15">
        <f t="shared" si="6"/>
        <v>0.84847357800750522</v>
      </c>
      <c r="M26" s="18" t="s">
        <v>88</v>
      </c>
      <c r="N26" s="16" t="b">
        <f t="shared" si="7"/>
        <v>0</v>
      </c>
      <c r="O26" s="16" t="b">
        <f t="shared" si="8"/>
        <v>0</v>
      </c>
      <c r="P26" s="16">
        <f t="shared" si="9"/>
        <v>1</v>
      </c>
      <c r="Q26" s="16">
        <f t="shared" si="10"/>
        <v>0</v>
      </c>
      <c r="R26" s="20" t="str">
        <f t="shared" si="0"/>
        <v>Ka &lt;= 5 %</v>
      </c>
      <c r="S26" s="71">
        <f t="shared" si="11"/>
        <v>3.0700000000000002E-2</v>
      </c>
      <c r="U26" s="26">
        <f t="shared" si="1"/>
        <v>0.38903369936718596</v>
      </c>
      <c r="V26" s="26">
        <f t="shared" si="2"/>
        <v>0.69694715601501045</v>
      </c>
      <c r="W26" s="27">
        <f t="shared" si="12"/>
        <v>0.30791345664782449</v>
      </c>
      <c r="X26" s="28">
        <f t="shared" si="13"/>
        <v>0.30791345664782449</v>
      </c>
      <c r="Y26" s="28">
        <f t="shared" si="14"/>
        <v>0</v>
      </c>
      <c r="Z26" s="28">
        <f t="shared" si="15"/>
        <v>0</v>
      </c>
      <c r="AA26" s="28">
        <f t="shared" si="16"/>
        <v>3.0672086543352175</v>
      </c>
      <c r="AB26" s="31">
        <f t="shared" si="17"/>
        <v>3.0672086543352175</v>
      </c>
      <c r="AC26" s="32">
        <f t="shared" si="18"/>
        <v>306.72086543352174</v>
      </c>
      <c r="AD26" s="32">
        <f t="shared" si="19"/>
        <v>307</v>
      </c>
    </row>
    <row r="27" spans="2:30" ht="21.6" thickBot="1" x14ac:dyDescent="0.35">
      <c r="B27" s="23" t="s">
        <v>19</v>
      </c>
      <c r="C27" s="90">
        <v>84922.190415840945</v>
      </c>
      <c r="D27" s="90">
        <v>38849.815877546294</v>
      </c>
      <c r="E27" s="84">
        <v>335.589</v>
      </c>
      <c r="F27" s="72">
        <f t="shared" si="3"/>
        <v>368.82021250215962</v>
      </c>
      <c r="G27" s="90">
        <v>333.97</v>
      </c>
      <c r="H27" s="90">
        <f t="shared" si="4"/>
        <v>1.1043513264729155</v>
      </c>
      <c r="I27" s="37">
        <f>'Y1a - Y2a'!N42+'Y1a - Y2a'!P42</f>
        <v>-0.12512825618242029</v>
      </c>
      <c r="J27" s="37">
        <f>'Y1a - Y2a'!N70+'Y1a - Y2a'!P70</f>
        <v>-3.2564810657360055E-2</v>
      </c>
      <c r="K27" s="15">
        <f t="shared" si="5"/>
        <v>-0.15769306683978035</v>
      </c>
      <c r="L27" s="15">
        <f t="shared" si="6"/>
        <v>0.84230693316021965</v>
      </c>
      <c r="M27" s="18" t="s">
        <v>88</v>
      </c>
      <c r="N27" s="16" t="b">
        <f t="shared" si="7"/>
        <v>0</v>
      </c>
      <c r="O27" s="16" t="b">
        <f t="shared" si="8"/>
        <v>0</v>
      </c>
      <c r="P27" s="16">
        <f t="shared" si="9"/>
        <v>1</v>
      </c>
      <c r="Q27" s="16">
        <f t="shared" si="10"/>
        <v>0</v>
      </c>
      <c r="R27" s="20" t="str">
        <f t="shared" si="0"/>
        <v>Ka &lt;= 5 %</v>
      </c>
      <c r="S27" s="73">
        <v>0.04</v>
      </c>
      <c r="U27" s="74"/>
      <c r="V27" s="74"/>
      <c r="W27" s="75"/>
      <c r="X27" s="17"/>
      <c r="Y27" s="17"/>
      <c r="Z27" s="17"/>
      <c r="AA27" s="17"/>
      <c r="AB27" s="76"/>
      <c r="AC27" s="77"/>
      <c r="AD27" s="77"/>
    </row>
    <row r="28" spans="2:30" ht="21.6" thickBot="1" x14ac:dyDescent="0.35">
      <c r="B28" s="23" t="s">
        <v>20</v>
      </c>
      <c r="C28" s="90">
        <v>5827611.1416605413</v>
      </c>
      <c r="D28" s="90">
        <v>4555065.2240856253</v>
      </c>
      <c r="E28" s="84">
        <v>25716.871999999999</v>
      </c>
      <c r="F28" s="72">
        <f t="shared" si="3"/>
        <v>403.7301412763639</v>
      </c>
      <c r="G28" s="90">
        <v>337.97</v>
      </c>
      <c r="H28" s="90">
        <f t="shared" si="4"/>
        <v>1.1945739008680174</v>
      </c>
      <c r="I28" s="37">
        <f>'Y1a - Y2a'!N43+'Y1a - Y2a'!P43</f>
        <v>-0.18880752396400155</v>
      </c>
      <c r="J28" s="37">
        <f>'Y1a - Y2a'!N71+'Y1a - Y2a'!P71</f>
        <v>-3.2564810657360055E-2</v>
      </c>
      <c r="K28" s="15">
        <f t="shared" si="5"/>
        <v>-0.22137233462136161</v>
      </c>
      <c r="L28" s="15">
        <f t="shared" si="6"/>
        <v>0.77862766537863837</v>
      </c>
      <c r="M28" s="18" t="s">
        <v>88</v>
      </c>
      <c r="N28" s="16" t="b">
        <f t="shared" si="7"/>
        <v>0</v>
      </c>
      <c r="O28" s="16" t="b">
        <f t="shared" si="8"/>
        <v>0</v>
      </c>
      <c r="P28" s="16">
        <f t="shared" si="9"/>
        <v>1</v>
      </c>
      <c r="Q28" s="16">
        <f t="shared" si="10"/>
        <v>0</v>
      </c>
      <c r="R28" s="20" t="str">
        <f t="shared" si="0"/>
        <v>Ka &lt;= 5 %</v>
      </c>
      <c r="S28" s="71">
        <f t="shared" si="11"/>
        <v>3.0599999999999999E-2</v>
      </c>
      <c r="U28" s="26">
        <f>(F28-G28)/G28</f>
        <v>0.19457390086801746</v>
      </c>
      <c r="V28" s="26">
        <f>(L28-$M$19)/$M$19</f>
        <v>0.55725533075727673</v>
      </c>
      <c r="W28" s="27">
        <f t="shared" si="12"/>
        <v>0.36268142988925928</v>
      </c>
      <c r="X28" s="28">
        <f t="shared" si="13"/>
        <v>0.36268142988925928</v>
      </c>
      <c r="Y28" s="28">
        <f t="shared" si="14"/>
        <v>0</v>
      </c>
      <c r="Z28" s="28">
        <f t="shared" si="15"/>
        <v>0</v>
      </c>
      <c r="AA28" s="28">
        <f t="shared" si="16"/>
        <v>3.0617318570110741</v>
      </c>
      <c r="AB28" s="31">
        <f t="shared" si="17"/>
        <v>3.0617318570110741</v>
      </c>
      <c r="AC28" s="32">
        <f t="shared" si="18"/>
        <v>306.1731857011074</v>
      </c>
      <c r="AD28" s="32">
        <f t="shared" si="19"/>
        <v>306</v>
      </c>
    </row>
    <row r="29" spans="2:30" ht="21.6" thickBot="1" x14ac:dyDescent="0.35">
      <c r="B29" s="23" t="s">
        <v>21</v>
      </c>
      <c r="C29" s="90">
        <v>4877228.3286750549</v>
      </c>
      <c r="D29" s="90">
        <v>4526511.3849117281</v>
      </c>
      <c r="E29" s="84">
        <v>22085.064999999999</v>
      </c>
      <c r="F29" s="72">
        <f t="shared" si="3"/>
        <v>425.79633401969988</v>
      </c>
      <c r="G29" s="90">
        <v>352.71</v>
      </c>
      <c r="H29" s="90">
        <f t="shared" si="4"/>
        <v>1.2072136713438799</v>
      </c>
      <c r="I29" s="37">
        <f>'Y1a - Y2a'!N44+'Y1a - Y2a'!P44</f>
        <v>-0.25865383203402115</v>
      </c>
      <c r="J29" s="37">
        <f>'Y1a - Y2a'!N72+'Y1a - Y2a'!P72</f>
        <v>-3.2564810657360055E-2</v>
      </c>
      <c r="K29" s="15">
        <f t="shared" si="5"/>
        <v>-0.2912186426913812</v>
      </c>
      <c r="L29" s="15">
        <f t="shared" si="6"/>
        <v>0.7087813573086188</v>
      </c>
      <c r="M29" s="18" t="s">
        <v>88</v>
      </c>
      <c r="N29" s="16" t="b">
        <f t="shared" si="7"/>
        <v>0</v>
      </c>
      <c r="O29" s="16" t="b">
        <f t="shared" si="8"/>
        <v>0</v>
      </c>
      <c r="P29" s="16">
        <f t="shared" si="9"/>
        <v>1</v>
      </c>
      <c r="Q29" s="16">
        <f t="shared" si="10"/>
        <v>0</v>
      </c>
      <c r="R29" s="20" t="str">
        <f t="shared" si="0"/>
        <v>Ka &lt;= 5 %</v>
      </c>
      <c r="S29" s="71">
        <f t="shared" si="11"/>
        <v>3.0800000000000001E-2</v>
      </c>
      <c r="U29" s="26">
        <f>(F29-G29)/G29</f>
        <v>0.20721367134388</v>
      </c>
      <c r="V29" s="26">
        <f>(L29-$M$19)/$M$19</f>
        <v>0.4175627146172376</v>
      </c>
      <c r="W29" s="27">
        <f t="shared" si="12"/>
        <v>0.2103490432733576</v>
      </c>
      <c r="X29" s="28">
        <f t="shared" si="13"/>
        <v>0.2103490432733576</v>
      </c>
      <c r="Y29" s="28">
        <f t="shared" si="14"/>
        <v>0</v>
      </c>
      <c r="Z29" s="28">
        <f t="shared" si="15"/>
        <v>0</v>
      </c>
      <c r="AA29" s="28">
        <f t="shared" si="16"/>
        <v>3.0769650956726644</v>
      </c>
      <c r="AB29" s="31">
        <f t="shared" si="17"/>
        <v>3.0769650956726644</v>
      </c>
      <c r="AC29" s="32">
        <f t="shared" si="18"/>
        <v>307.69650956726645</v>
      </c>
      <c r="AD29" s="32">
        <f t="shared" si="19"/>
        <v>308</v>
      </c>
    </row>
    <row r="30" spans="2:30" ht="21.6" thickBot="1" x14ac:dyDescent="0.35">
      <c r="B30" s="23" t="s">
        <v>22</v>
      </c>
      <c r="C30" s="90">
        <v>2390962.8336866321</v>
      </c>
      <c r="D30" s="90">
        <v>2193784.2409177283</v>
      </c>
      <c r="E30" s="84">
        <v>11329.835999999999</v>
      </c>
      <c r="F30" s="72">
        <f t="shared" si="3"/>
        <v>404.66138032398356</v>
      </c>
      <c r="G30" s="90">
        <v>307.18</v>
      </c>
      <c r="H30" s="90">
        <f t="shared" si="4"/>
        <v>1.3173428619180401</v>
      </c>
      <c r="I30" s="37">
        <f>'Y1a - Y2a'!N45+'Y1a - Y2a'!P45</f>
        <v>-0.20875030346804777</v>
      </c>
      <c r="J30" s="37">
        <f>'Y1a - Y2a'!N73+'Y1a - Y2a'!P73</f>
        <v>-3.2564810657360055E-2</v>
      </c>
      <c r="K30" s="15">
        <f t="shared" si="5"/>
        <v>-0.24131511412540782</v>
      </c>
      <c r="L30" s="15">
        <f t="shared" si="6"/>
        <v>0.75868488587459215</v>
      </c>
      <c r="M30" s="18" t="s">
        <v>88</v>
      </c>
      <c r="N30" s="16" t="b">
        <f t="shared" si="7"/>
        <v>0</v>
      </c>
      <c r="O30" s="16" t="b">
        <f t="shared" si="8"/>
        <v>0</v>
      </c>
      <c r="P30" s="16">
        <f t="shared" si="9"/>
        <v>1</v>
      </c>
      <c r="Q30" s="16">
        <f t="shared" si="10"/>
        <v>0</v>
      </c>
      <c r="R30" s="20" t="str">
        <f t="shared" si="0"/>
        <v>Ka &lt;= 5 %</v>
      </c>
      <c r="S30" s="71">
        <f t="shared" si="11"/>
        <v>3.0800000000000001E-2</v>
      </c>
      <c r="U30" s="26">
        <f>(F30-G30)/G30</f>
        <v>0.31734286191804012</v>
      </c>
      <c r="V30" s="26">
        <f>(L30-$M$19)/$M$19</f>
        <v>0.5173697717491843</v>
      </c>
      <c r="W30" s="27">
        <f t="shared" si="12"/>
        <v>0.20002690983114418</v>
      </c>
      <c r="X30" s="28">
        <f t="shared" si="13"/>
        <v>0.20002690983114418</v>
      </c>
      <c r="Y30" s="28">
        <f t="shared" si="14"/>
        <v>0</v>
      </c>
      <c r="Z30" s="28">
        <f t="shared" si="15"/>
        <v>0</v>
      </c>
      <c r="AA30" s="28">
        <f t="shared" si="16"/>
        <v>3.0779973090168857</v>
      </c>
      <c r="AB30" s="31">
        <f t="shared" si="17"/>
        <v>3.0779973090168857</v>
      </c>
      <c r="AC30" s="32">
        <f t="shared" si="18"/>
        <v>307.79973090168858</v>
      </c>
      <c r="AD30" s="32">
        <f t="shared" si="19"/>
        <v>308</v>
      </c>
    </row>
    <row r="31" spans="2:30" ht="21.6" thickBot="1" x14ac:dyDescent="0.35">
      <c r="B31" s="23" t="s">
        <v>23</v>
      </c>
      <c r="C31" s="90">
        <v>72410.071306372134</v>
      </c>
      <c r="D31" s="90">
        <v>33191.144226714248</v>
      </c>
      <c r="E31" s="84">
        <v>304.053</v>
      </c>
      <c r="F31" s="72">
        <f t="shared" si="3"/>
        <v>347.31186843440582</v>
      </c>
      <c r="G31" s="90">
        <v>267.08</v>
      </c>
      <c r="H31" s="90">
        <f t="shared" si="4"/>
        <v>1.3004038806140701</v>
      </c>
      <c r="I31" s="37">
        <f>'Y1a - Y2a'!N46+'Y1a - Y2a'!P46</f>
        <v>-9.9323181632808288E-2</v>
      </c>
      <c r="J31" s="37">
        <f>'Y1a - Y2a'!N74+'Y1a - Y2a'!P74</f>
        <v>-3.2564810657360055E-2</v>
      </c>
      <c r="K31" s="15">
        <f t="shared" si="5"/>
        <v>-0.13188799229016834</v>
      </c>
      <c r="L31" s="15">
        <f t="shared" si="6"/>
        <v>0.86811200770983166</v>
      </c>
      <c r="M31" s="18" t="s">
        <v>88</v>
      </c>
      <c r="N31" s="16" t="b">
        <f t="shared" si="7"/>
        <v>0</v>
      </c>
      <c r="O31" s="16" t="b">
        <f t="shared" si="8"/>
        <v>0</v>
      </c>
      <c r="P31" s="16">
        <f t="shared" si="9"/>
        <v>1</v>
      </c>
      <c r="Q31" s="16">
        <f t="shared" si="10"/>
        <v>0</v>
      </c>
      <c r="R31" s="20" t="str">
        <f t="shared" si="0"/>
        <v>Ka &lt;= 5 %</v>
      </c>
      <c r="S31" s="71">
        <f t="shared" si="11"/>
        <v>3.0499999999999999E-2</v>
      </c>
      <c r="U31" s="26">
        <f>(F31-G31)/G31</f>
        <v>0.30040388061407008</v>
      </c>
      <c r="V31" s="26">
        <f>(L31-$M$19)/$M$19</f>
        <v>0.73622401541966331</v>
      </c>
      <c r="W31" s="27">
        <f t="shared" si="12"/>
        <v>0.43582013480559323</v>
      </c>
      <c r="X31" s="28">
        <f t="shared" si="13"/>
        <v>0.43582013480559323</v>
      </c>
      <c r="Y31" s="28">
        <f t="shared" si="14"/>
        <v>0</v>
      </c>
      <c r="Z31" s="28">
        <f t="shared" si="15"/>
        <v>0</v>
      </c>
      <c r="AA31" s="28">
        <f t="shared" si="16"/>
        <v>3.0544179865194407</v>
      </c>
      <c r="AB31" s="31">
        <f t="shared" si="17"/>
        <v>3.0544179865194407</v>
      </c>
      <c r="AC31" s="32">
        <f t="shared" si="18"/>
        <v>305.44179865194405</v>
      </c>
      <c r="AD31" s="32">
        <f t="shared" si="19"/>
        <v>305</v>
      </c>
    </row>
    <row r="32" spans="2:30" ht="21.6" thickBot="1" x14ac:dyDescent="0.35">
      <c r="B32" s="23" t="s">
        <v>24</v>
      </c>
      <c r="C32" s="90">
        <v>189732.5698335628</v>
      </c>
      <c r="D32" s="90">
        <v>51926.635320254703</v>
      </c>
      <c r="E32" s="84">
        <v>899.72500000000002</v>
      </c>
      <c r="F32" s="72">
        <f t="shared" si="3"/>
        <v>268.59229781746365</v>
      </c>
      <c r="G32" s="90">
        <v>299.02</v>
      </c>
      <c r="H32" s="90">
        <f t="shared" si="4"/>
        <v>0.89824191631818495</v>
      </c>
      <c r="I32" s="37">
        <f>'Y1a - Y2a'!N47+'Y1a - Y2a'!P47</f>
        <v>-0.14690258016038632</v>
      </c>
      <c r="J32" s="37">
        <f>'Y1a - Y2a'!N75+'Y1a - Y2a'!P75</f>
        <v>-3.2564810657360055E-2</v>
      </c>
      <c r="K32" s="15">
        <f t="shared" si="5"/>
        <v>-0.17946739081774638</v>
      </c>
      <c r="L32" s="15">
        <f t="shared" si="6"/>
        <v>0.82053260918225357</v>
      </c>
      <c r="M32" s="18" t="s">
        <v>88</v>
      </c>
      <c r="N32" s="16" t="b">
        <f t="shared" si="7"/>
        <v>0</v>
      </c>
      <c r="O32" s="16" t="b">
        <f t="shared" si="8"/>
        <v>0</v>
      </c>
      <c r="P32" s="16">
        <f t="shared" si="9"/>
        <v>0</v>
      </c>
      <c r="Q32" s="16">
        <f t="shared" si="10"/>
        <v>1</v>
      </c>
      <c r="R32" s="20" t="str">
        <f t="shared" si="0"/>
        <v>Ka &lt;= 7 %</v>
      </c>
      <c r="S32" s="73">
        <v>0.04</v>
      </c>
      <c r="U32" s="74"/>
      <c r="V32" s="74"/>
      <c r="W32" s="75"/>
      <c r="X32" s="17"/>
      <c r="Y32" s="17"/>
      <c r="Z32" s="17"/>
      <c r="AA32" s="17"/>
      <c r="AB32" s="76"/>
      <c r="AC32" s="77"/>
      <c r="AD32" s="77"/>
    </row>
    <row r="33" spans="2:30" ht="21.6" thickBot="1" x14ac:dyDescent="0.35">
      <c r="B33" s="23" t="s">
        <v>25</v>
      </c>
      <c r="C33" s="90">
        <v>529682.73873206077</v>
      </c>
      <c r="D33" s="90">
        <v>228187.0998203489</v>
      </c>
      <c r="E33" s="84">
        <v>1609.2249999999999</v>
      </c>
      <c r="F33" s="72">
        <f t="shared" si="3"/>
        <v>470.95330892349403</v>
      </c>
      <c r="G33" s="90">
        <v>279.04000000000002</v>
      </c>
      <c r="H33" s="90">
        <f t="shared" si="4"/>
        <v>1.6877627183324757</v>
      </c>
      <c r="I33" s="37">
        <f>'Y1a - Y2a'!N48+'Y1a - Y2a'!P48</f>
        <v>0</v>
      </c>
      <c r="J33" s="37">
        <f>'Y1a - Y2a'!N76+'Y1a - Y2a'!P76</f>
        <v>-3.2564810657360055E-2</v>
      </c>
      <c r="K33" s="15">
        <f t="shared" si="5"/>
        <v>-3.2564810657360055E-2</v>
      </c>
      <c r="L33" s="15">
        <f t="shared" si="6"/>
        <v>0.96743518934263995</v>
      </c>
      <c r="M33" s="18" t="s">
        <v>88</v>
      </c>
      <c r="N33" s="16" t="b">
        <f t="shared" si="7"/>
        <v>0</v>
      </c>
      <c r="O33" s="16" t="b">
        <f t="shared" si="8"/>
        <v>0</v>
      </c>
      <c r="P33" s="16">
        <f t="shared" si="9"/>
        <v>1</v>
      </c>
      <c r="Q33" s="16">
        <f t="shared" si="10"/>
        <v>0</v>
      </c>
      <c r="R33" s="20" t="str">
        <f t="shared" si="0"/>
        <v>Ka &lt;= 5 %</v>
      </c>
      <c r="S33" s="71">
        <f t="shared" ref="S33:S39" si="20">AD33/10000</f>
        <v>3.0700000000000002E-2</v>
      </c>
      <c r="U33" s="26">
        <f t="shared" ref="U33:U39" si="21">(F33-G33)/G33</f>
        <v>0.6877627183324756</v>
      </c>
      <c r="V33" s="26">
        <f t="shared" ref="V33:V39" si="22">(L33-$M$19)/$M$19</f>
        <v>0.93487037868527989</v>
      </c>
      <c r="W33" s="27">
        <f t="shared" si="12"/>
        <v>0.24710766035280429</v>
      </c>
      <c r="X33" s="28">
        <f t="shared" si="13"/>
        <v>0.24710766035280429</v>
      </c>
      <c r="Y33" s="28">
        <f t="shared" si="14"/>
        <v>0</v>
      </c>
      <c r="Z33" s="28">
        <f t="shared" si="15"/>
        <v>0</v>
      </c>
      <c r="AA33" s="28">
        <f t="shared" si="16"/>
        <v>3.0732892339647195</v>
      </c>
      <c r="AB33" s="30">
        <f t="shared" si="17"/>
        <v>3.0732892339647195</v>
      </c>
      <c r="AC33" s="32">
        <f t="shared" si="18"/>
        <v>307.32892339647196</v>
      </c>
      <c r="AD33" s="32">
        <f t="shared" si="19"/>
        <v>307</v>
      </c>
    </row>
    <row r="34" spans="2:30" ht="21.6" thickBot="1" x14ac:dyDescent="0.35">
      <c r="B34" s="23" t="s">
        <v>26</v>
      </c>
      <c r="C34" s="90">
        <v>1822576.6365520712</v>
      </c>
      <c r="D34" s="90">
        <v>1111872.0181801098</v>
      </c>
      <c r="E34" s="84">
        <v>7076.28</v>
      </c>
      <c r="F34" s="72">
        <f t="shared" si="3"/>
        <v>414.68803590759279</v>
      </c>
      <c r="G34" s="90">
        <v>292.05</v>
      </c>
      <c r="H34" s="90">
        <f t="shared" si="4"/>
        <v>1.4199213693120794</v>
      </c>
      <c r="I34" s="37">
        <f>'Y1a - Y2a'!N49+'Y1a - Y2a'!P49</f>
        <v>-0.11642516852607161</v>
      </c>
      <c r="J34" s="37">
        <f>'Y1a - Y2a'!N77+'Y1a - Y2a'!P77</f>
        <v>-3.2564810657360055E-2</v>
      </c>
      <c r="K34" s="15">
        <f t="shared" si="5"/>
        <v>-0.14898997918343165</v>
      </c>
      <c r="L34" s="15">
        <f t="shared" si="6"/>
        <v>0.85101002081656829</v>
      </c>
      <c r="M34" s="18" t="s">
        <v>88</v>
      </c>
      <c r="N34" s="16" t="b">
        <f t="shared" si="7"/>
        <v>0</v>
      </c>
      <c r="O34" s="16" t="b">
        <f t="shared" si="8"/>
        <v>0</v>
      </c>
      <c r="P34" s="16">
        <f t="shared" si="9"/>
        <v>1</v>
      </c>
      <c r="Q34" s="16">
        <f t="shared" si="10"/>
        <v>0</v>
      </c>
      <c r="R34" s="20" t="str">
        <f t="shared" si="0"/>
        <v>Ka &lt;= 5 %</v>
      </c>
      <c r="S34" s="71">
        <f t="shared" si="20"/>
        <v>3.0700000000000002E-2</v>
      </c>
      <c r="U34" s="26">
        <f t="shared" si="21"/>
        <v>0.41992136931207935</v>
      </c>
      <c r="V34" s="26">
        <f t="shared" si="22"/>
        <v>0.70202004163313658</v>
      </c>
      <c r="W34" s="27">
        <f t="shared" si="12"/>
        <v>0.28209867232105723</v>
      </c>
      <c r="X34" s="28">
        <f t="shared" si="13"/>
        <v>0.28209867232105723</v>
      </c>
      <c r="Y34" s="28">
        <f t="shared" si="14"/>
        <v>0</v>
      </c>
      <c r="Z34" s="28">
        <f t="shared" si="15"/>
        <v>0</v>
      </c>
      <c r="AA34" s="28">
        <f t="shared" si="16"/>
        <v>3.0697901327678943</v>
      </c>
      <c r="AB34" s="30">
        <f t="shared" si="17"/>
        <v>3.0697901327678943</v>
      </c>
      <c r="AC34" s="32">
        <f t="shared" si="18"/>
        <v>306.97901327678943</v>
      </c>
      <c r="AD34" s="32">
        <f t="shared" si="19"/>
        <v>307</v>
      </c>
    </row>
    <row r="35" spans="2:30" ht="21.6" thickBot="1" x14ac:dyDescent="0.35">
      <c r="B35" s="23" t="s">
        <v>27</v>
      </c>
      <c r="C35" s="90">
        <v>2152889.5100050461</v>
      </c>
      <c r="D35" s="90">
        <v>1675233.0358982889</v>
      </c>
      <c r="E35" s="84">
        <v>9478.6489999999994</v>
      </c>
      <c r="F35" s="72">
        <f t="shared" si="3"/>
        <v>403.86795058065087</v>
      </c>
      <c r="G35" s="90">
        <v>296.54000000000002</v>
      </c>
      <c r="H35" s="90">
        <f t="shared" si="4"/>
        <v>1.361934142377591</v>
      </c>
      <c r="I35" s="37">
        <f>'Y1a - Y2a'!N50+'Y1a - Y2a'!P50</f>
        <v>-0.10959934528939959</v>
      </c>
      <c r="J35" s="37">
        <f>'Y1a - Y2a'!N78+'Y1a - Y2a'!P78</f>
        <v>-3.2564810657360055E-2</v>
      </c>
      <c r="K35" s="15">
        <f t="shared" si="5"/>
        <v>-0.14216415594675963</v>
      </c>
      <c r="L35" s="15">
        <f t="shared" si="6"/>
        <v>0.85783584405324032</v>
      </c>
      <c r="M35" s="18" t="s">
        <v>88</v>
      </c>
      <c r="N35" s="16" t="b">
        <f t="shared" si="7"/>
        <v>0</v>
      </c>
      <c r="O35" s="16" t="b">
        <f t="shared" si="8"/>
        <v>0</v>
      </c>
      <c r="P35" s="16">
        <f t="shared" si="9"/>
        <v>1</v>
      </c>
      <c r="Q35" s="16">
        <f t="shared" si="10"/>
        <v>0</v>
      </c>
      <c r="R35" s="20" t="str">
        <f t="shared" si="0"/>
        <v>Ka &lt;= 5 %</v>
      </c>
      <c r="S35" s="71">
        <f t="shared" si="20"/>
        <v>3.0599999999999999E-2</v>
      </c>
      <c r="U35" s="26">
        <f t="shared" si="21"/>
        <v>0.36193414237759103</v>
      </c>
      <c r="V35" s="26">
        <f t="shared" si="22"/>
        <v>0.71567168810648063</v>
      </c>
      <c r="W35" s="27">
        <f t="shared" si="12"/>
        <v>0.3537375457288896</v>
      </c>
      <c r="X35" s="28">
        <f t="shared" si="13"/>
        <v>0.3537375457288896</v>
      </c>
      <c r="Y35" s="28">
        <f t="shared" si="14"/>
        <v>0</v>
      </c>
      <c r="Z35" s="28">
        <f t="shared" si="15"/>
        <v>0</v>
      </c>
      <c r="AA35" s="28">
        <f t="shared" si="16"/>
        <v>3.0626262454271109</v>
      </c>
      <c r="AB35" s="30">
        <f t="shared" si="17"/>
        <v>3.0626262454271109</v>
      </c>
      <c r="AC35" s="32">
        <f t="shared" si="18"/>
        <v>306.26262454271108</v>
      </c>
      <c r="AD35" s="32">
        <f t="shared" si="19"/>
        <v>306</v>
      </c>
    </row>
    <row r="36" spans="2:30" ht="21.6" thickBot="1" x14ac:dyDescent="0.35">
      <c r="B36" s="23" t="s">
        <v>28</v>
      </c>
      <c r="C36" s="90">
        <v>1268959.9374865957</v>
      </c>
      <c r="D36" s="90">
        <v>677706.90253021789</v>
      </c>
      <c r="E36" s="84">
        <v>5122.3580000000002</v>
      </c>
      <c r="F36" s="72">
        <f t="shared" si="3"/>
        <v>380.03334402179883</v>
      </c>
      <c r="G36" s="90">
        <v>308.48</v>
      </c>
      <c r="H36" s="90">
        <f t="shared" si="4"/>
        <v>1.2319545643860179</v>
      </c>
      <c r="I36" s="37">
        <f>'Y1a - Y2a'!N51+'Y1a - Y2a'!P51</f>
        <v>-5.0254004127075411E-2</v>
      </c>
      <c r="J36" s="37">
        <f>'Y1a - Y2a'!N79+'Y1a - Y2a'!P79</f>
        <v>-3.2564810657360055E-2</v>
      </c>
      <c r="K36" s="15">
        <f t="shared" si="5"/>
        <v>-8.2818814784435466E-2</v>
      </c>
      <c r="L36" s="15">
        <f t="shared" si="6"/>
        <v>0.91718118521556458</v>
      </c>
      <c r="M36" s="18" t="s">
        <v>88</v>
      </c>
      <c r="N36" s="16" t="b">
        <f t="shared" si="7"/>
        <v>0</v>
      </c>
      <c r="O36" s="16" t="b">
        <f t="shared" si="8"/>
        <v>0</v>
      </c>
      <c r="P36" s="16">
        <f t="shared" si="9"/>
        <v>1</v>
      </c>
      <c r="Q36" s="16">
        <f t="shared" si="10"/>
        <v>0</v>
      </c>
      <c r="R36" s="20" t="str">
        <f t="shared" si="0"/>
        <v>Ka &lt;= 5 %</v>
      </c>
      <c r="S36" s="71">
        <f t="shared" si="20"/>
        <v>3.04E-2</v>
      </c>
      <c r="U36" s="26">
        <f t="shared" si="21"/>
        <v>0.23195456438601791</v>
      </c>
      <c r="V36" s="26">
        <f t="shared" si="22"/>
        <v>0.83436237043112915</v>
      </c>
      <c r="W36" s="27">
        <f t="shared" si="12"/>
        <v>0.60240780604511124</v>
      </c>
      <c r="X36" s="28">
        <f t="shared" si="13"/>
        <v>0.60240780604511124</v>
      </c>
      <c r="Y36" s="28">
        <f t="shared" si="14"/>
        <v>0</v>
      </c>
      <c r="Z36" s="28">
        <f t="shared" si="15"/>
        <v>0</v>
      </c>
      <c r="AA36" s="28">
        <f t="shared" si="16"/>
        <v>3.0377592193954888</v>
      </c>
      <c r="AB36" s="30">
        <f t="shared" si="17"/>
        <v>3.0377592193954888</v>
      </c>
      <c r="AC36" s="32">
        <f t="shared" si="18"/>
        <v>303.77592193954888</v>
      </c>
      <c r="AD36" s="32">
        <f t="shared" si="19"/>
        <v>304</v>
      </c>
    </row>
    <row r="37" spans="2:30" ht="21.6" thickBot="1" x14ac:dyDescent="0.35">
      <c r="B37" s="23" t="s">
        <v>29</v>
      </c>
      <c r="C37" s="90">
        <v>429081.37498808221</v>
      </c>
      <c r="D37" s="90">
        <v>438483.7660683117</v>
      </c>
      <c r="E37" s="84">
        <v>2063.6750000000002</v>
      </c>
      <c r="F37" s="72">
        <f t="shared" si="3"/>
        <v>420.39814459951003</v>
      </c>
      <c r="G37" s="90">
        <v>282.22000000000003</v>
      </c>
      <c r="H37" s="90">
        <f t="shared" si="4"/>
        <v>1.4896114541829424</v>
      </c>
      <c r="I37" s="37">
        <f>'Y1a - Y2a'!N52+'Y1a - Y2a'!P52</f>
        <v>0</v>
      </c>
      <c r="J37" s="37">
        <f>'Y1a - Y2a'!N80+'Y1a - Y2a'!P80</f>
        <v>-3.2564810657360055E-2</v>
      </c>
      <c r="K37" s="15">
        <f t="shared" si="5"/>
        <v>-3.2564810657360055E-2</v>
      </c>
      <c r="L37" s="15">
        <f t="shared" si="6"/>
        <v>0.96743518934263995</v>
      </c>
      <c r="M37" s="18" t="s">
        <v>88</v>
      </c>
      <c r="N37" s="16" t="b">
        <f t="shared" si="7"/>
        <v>0</v>
      </c>
      <c r="O37" s="16" t="b">
        <f t="shared" si="8"/>
        <v>0</v>
      </c>
      <c r="P37" s="16">
        <f t="shared" si="9"/>
        <v>1</v>
      </c>
      <c r="Q37" s="16">
        <f t="shared" si="10"/>
        <v>0</v>
      </c>
      <c r="R37" s="20" t="str">
        <f t="shared" si="0"/>
        <v>Ka &lt;= 5 %</v>
      </c>
      <c r="S37" s="71">
        <f t="shared" si="20"/>
        <v>3.0499999999999999E-2</v>
      </c>
      <c r="U37" s="26">
        <f t="shared" si="21"/>
        <v>0.48961145418294238</v>
      </c>
      <c r="V37" s="26">
        <f t="shared" si="22"/>
        <v>0.93487037868527989</v>
      </c>
      <c r="W37" s="27">
        <f t="shared" si="12"/>
        <v>0.44525892450233751</v>
      </c>
      <c r="X37" s="28">
        <f t="shared" si="13"/>
        <v>0.44525892450233751</v>
      </c>
      <c r="Y37" s="28">
        <f t="shared" si="14"/>
        <v>0</v>
      </c>
      <c r="Z37" s="28">
        <f t="shared" si="15"/>
        <v>0</v>
      </c>
      <c r="AA37" s="28">
        <f t="shared" si="16"/>
        <v>3.0534741075497664</v>
      </c>
      <c r="AB37" s="30">
        <f t="shared" si="17"/>
        <v>3.0534741075497664</v>
      </c>
      <c r="AC37" s="32">
        <f t="shared" si="18"/>
        <v>305.34741075497664</v>
      </c>
      <c r="AD37" s="32">
        <f t="shared" si="19"/>
        <v>305</v>
      </c>
    </row>
    <row r="38" spans="2:30" ht="21.6" thickBot="1" x14ac:dyDescent="0.35">
      <c r="B38" s="23" t="s">
        <v>30</v>
      </c>
      <c r="C38" s="90">
        <v>1571806.5321593441</v>
      </c>
      <c r="D38" s="90">
        <v>593101.02576460445</v>
      </c>
      <c r="E38" s="84">
        <v>6245.1719999999996</v>
      </c>
      <c r="F38" s="72">
        <f t="shared" si="3"/>
        <v>346.65299177091498</v>
      </c>
      <c r="G38" s="90">
        <v>259.45</v>
      </c>
      <c r="H38" s="90">
        <f t="shared" si="4"/>
        <v>1.3361071180224129</v>
      </c>
      <c r="I38" s="37">
        <f>'Y1a - Y2a'!N53+'Y1a - Y2a'!P53</f>
        <v>-5.9584271841046817E-2</v>
      </c>
      <c r="J38" s="37">
        <f>'Y1a - Y2a'!N81+'Y1a - Y2a'!P81</f>
        <v>-3.2564810657360055E-2</v>
      </c>
      <c r="K38" s="15">
        <f t="shared" si="5"/>
        <v>-9.2149082498406865E-2</v>
      </c>
      <c r="L38" s="15">
        <f t="shared" si="6"/>
        <v>0.90785091750159319</v>
      </c>
      <c r="M38" s="18" t="s">
        <v>88</v>
      </c>
      <c r="N38" s="16" t="b">
        <f t="shared" si="7"/>
        <v>0</v>
      </c>
      <c r="O38" s="16" t="b">
        <f t="shared" si="8"/>
        <v>0</v>
      </c>
      <c r="P38" s="16">
        <f t="shared" si="9"/>
        <v>1</v>
      </c>
      <c r="Q38" s="16">
        <f t="shared" si="10"/>
        <v>0</v>
      </c>
      <c r="R38" s="20" t="str">
        <f t="shared" si="0"/>
        <v>Ka &lt;= 5 %</v>
      </c>
      <c r="S38" s="71">
        <f t="shared" si="20"/>
        <v>3.0499999999999999E-2</v>
      </c>
      <c r="U38" s="26">
        <f t="shared" si="21"/>
        <v>0.33610711802241278</v>
      </c>
      <c r="V38" s="26">
        <f t="shared" si="22"/>
        <v>0.81570183500318638</v>
      </c>
      <c r="W38" s="27">
        <f t="shared" si="12"/>
        <v>0.47959471698077361</v>
      </c>
      <c r="X38" s="28">
        <f t="shared" si="13"/>
        <v>0.47959471698077361</v>
      </c>
      <c r="Y38" s="28">
        <f t="shared" si="14"/>
        <v>0</v>
      </c>
      <c r="Z38" s="28">
        <f t="shared" si="15"/>
        <v>0</v>
      </c>
      <c r="AA38" s="28">
        <f t="shared" si="16"/>
        <v>3.0500405283019227</v>
      </c>
      <c r="AB38" s="30">
        <f t="shared" si="17"/>
        <v>3.0500405283019227</v>
      </c>
      <c r="AC38" s="32">
        <f t="shared" si="18"/>
        <v>305.00405283019228</v>
      </c>
      <c r="AD38" s="32">
        <f t="shared" si="19"/>
        <v>305</v>
      </c>
    </row>
    <row r="39" spans="2:30" ht="21.6" thickBot="1" x14ac:dyDescent="0.35">
      <c r="B39" s="23" t="s">
        <v>31</v>
      </c>
      <c r="C39" s="90">
        <v>102865.67937201672</v>
      </c>
      <c r="D39" s="90">
        <v>61927.21591560341</v>
      </c>
      <c r="E39" s="84">
        <v>427.62099999999998</v>
      </c>
      <c r="F39" s="72">
        <f t="shared" si="3"/>
        <v>385.37138093690476</v>
      </c>
      <c r="G39" s="90">
        <v>322.95</v>
      </c>
      <c r="H39" s="90">
        <f t="shared" si="4"/>
        <v>1.1932849696141965</v>
      </c>
      <c r="I39" s="37">
        <f>'Y1a - Y2a'!N54+'Y1a - Y2a'!P54</f>
        <v>-0.12386399326765425</v>
      </c>
      <c r="J39" s="37">
        <f>'Y1a - Y2a'!N82+'Y1a - Y2a'!P82</f>
        <v>-3.2564810657360055E-2</v>
      </c>
      <c r="K39" s="15">
        <f t="shared" si="5"/>
        <v>-0.15642880392501429</v>
      </c>
      <c r="L39" s="15">
        <f t="shared" si="6"/>
        <v>0.84357119607498565</v>
      </c>
      <c r="M39" s="18" t="s">
        <v>88</v>
      </c>
      <c r="N39" s="16" t="b">
        <f t="shared" si="7"/>
        <v>0</v>
      </c>
      <c r="O39" s="16" t="b">
        <f t="shared" si="8"/>
        <v>0</v>
      </c>
      <c r="P39" s="16">
        <f t="shared" si="9"/>
        <v>1</v>
      </c>
      <c r="Q39" s="16">
        <f t="shared" si="10"/>
        <v>0</v>
      </c>
      <c r="R39" s="20" t="str">
        <f t="shared" si="0"/>
        <v>Ka &lt;= 5 %</v>
      </c>
      <c r="S39" s="71">
        <f t="shared" si="20"/>
        <v>3.0499999999999999E-2</v>
      </c>
      <c r="U39" s="26">
        <f t="shared" si="21"/>
        <v>0.19328496961419653</v>
      </c>
      <c r="V39" s="26">
        <f t="shared" si="22"/>
        <v>0.6871423921499713</v>
      </c>
      <c r="W39" s="27">
        <f t="shared" si="12"/>
        <v>0.4938574225357748</v>
      </c>
      <c r="X39" s="28">
        <f t="shared" si="13"/>
        <v>0.4938574225357748</v>
      </c>
      <c r="Y39" s="28">
        <f t="shared" si="14"/>
        <v>0</v>
      </c>
      <c r="Z39" s="28">
        <f t="shared" si="15"/>
        <v>0</v>
      </c>
      <c r="AA39" s="28">
        <f t="shared" si="16"/>
        <v>3.0486142577464226</v>
      </c>
      <c r="AB39" s="30">
        <f t="shared" si="17"/>
        <v>3.0486142577464226</v>
      </c>
      <c r="AC39" s="32">
        <f t="shared" si="18"/>
        <v>304.86142577464227</v>
      </c>
      <c r="AD39" s="32">
        <f t="shared" si="19"/>
        <v>305</v>
      </c>
    </row>
    <row r="42" spans="2:30" x14ac:dyDescent="0.3">
      <c r="K42" s="100">
        <f>SUM(K21:K41)</f>
        <v>-2.6191621548701236</v>
      </c>
      <c r="L42" s="100">
        <f>SUM(L21:L41)</f>
        <v>16.380837845129875</v>
      </c>
      <c r="X42" s="1">
        <f>6.92/19</f>
        <v>0.36421052631578948</v>
      </c>
    </row>
    <row r="43" spans="2:30" x14ac:dyDescent="0.3">
      <c r="K43" s="100">
        <f>K42/19</f>
        <v>-0.1378506397300065</v>
      </c>
      <c r="L43" s="100">
        <f>L42/19</f>
        <v>0.86214936026999345</v>
      </c>
    </row>
    <row r="44" spans="2:30" x14ac:dyDescent="0.3">
      <c r="L44" s="100">
        <f>L43-K43</f>
        <v>1</v>
      </c>
    </row>
  </sheetData>
  <mergeCells count="4">
    <mergeCell ref="K18:L18"/>
    <mergeCell ref="C18:F18"/>
    <mergeCell ref="G18:G19"/>
    <mergeCell ref="N18:S19"/>
  </mergeCells>
  <phoneticPr fontId="18" type="noConversion"/>
  <pageMargins left="0.7" right="0.7" top="0.75" bottom="0.75" header="0.3" footer="0.3"/>
  <pageSetup paperSize="8" scale="6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G24"/>
  <sheetViews>
    <sheetView topLeftCell="A7" workbookViewId="0">
      <selection activeCell="I18" sqref="I18"/>
    </sheetView>
  </sheetViews>
  <sheetFormatPr defaultColWidth="9.109375" defaultRowHeight="14.4" x14ac:dyDescent="0.3"/>
  <cols>
    <col min="1" max="1" width="1.6640625" style="1" customWidth="1"/>
    <col min="2" max="5" width="30.109375" style="1" customWidth="1"/>
    <col min="6" max="6" width="16.21875" style="1" customWidth="1"/>
    <col min="7" max="7" width="19.5546875" style="1" customWidth="1"/>
    <col min="8" max="10" width="15.5546875" style="1" customWidth="1"/>
    <col min="11" max="16384" width="9.109375" style="1"/>
  </cols>
  <sheetData>
    <row r="3" spans="2:7" ht="43.2" x14ac:dyDescent="0.3">
      <c r="C3" s="5" t="s">
        <v>33</v>
      </c>
      <c r="D3" s="5" t="s">
        <v>5</v>
      </c>
      <c r="E3" s="101" t="s">
        <v>34</v>
      </c>
      <c r="F3" s="133" t="s">
        <v>104</v>
      </c>
      <c r="G3" s="133" t="s">
        <v>104</v>
      </c>
    </row>
    <row r="4" spans="2:7" x14ac:dyDescent="0.3">
      <c r="C4" s="5" t="s">
        <v>0</v>
      </c>
      <c r="D4" s="5" t="s">
        <v>1</v>
      </c>
      <c r="E4" s="5" t="s">
        <v>36</v>
      </c>
      <c r="F4" s="134"/>
      <c r="G4" s="134"/>
    </row>
    <row r="5" spans="2:7" x14ac:dyDescent="0.3">
      <c r="E5" s="5"/>
      <c r="F5" s="19"/>
      <c r="G5" s="19" t="s">
        <v>45</v>
      </c>
    </row>
    <row r="6" spans="2:7" x14ac:dyDescent="0.3">
      <c r="B6" s="23" t="s">
        <v>13</v>
      </c>
      <c r="C6" s="38">
        <f>'Sharing ba'!C17</f>
        <v>-0.21897592841628893</v>
      </c>
      <c r="D6" s="38">
        <f>'Sharing ba'!D17</f>
        <v>-3.2564810657360055E-2</v>
      </c>
      <c r="E6" s="103">
        <v>0.74845926092635096</v>
      </c>
      <c r="F6" s="103" t="str">
        <f>Ka!R21</f>
        <v>Ka &lt;= 5 %</v>
      </c>
      <c r="G6" s="104">
        <f>Ka!S21</f>
        <v>3.0700000000000002E-2</v>
      </c>
    </row>
    <row r="7" spans="2:7" x14ac:dyDescent="0.3">
      <c r="B7" s="23" t="s">
        <v>14</v>
      </c>
      <c r="C7" s="38">
        <f>'Sharing ba'!C18</f>
        <v>-1.1691029944589891E-3</v>
      </c>
      <c r="D7" s="38">
        <f>'Sharing ba'!D18</f>
        <v>-3.2564810657360055E-2</v>
      </c>
      <c r="E7" s="103">
        <v>0.9662660863481809</v>
      </c>
      <c r="F7" s="103" t="str">
        <f>Ka!R22</f>
        <v>Ka &lt;= 5 %</v>
      </c>
      <c r="G7" s="104">
        <f>Ka!S22</f>
        <v>3.0300000000000001E-2</v>
      </c>
    </row>
    <row r="8" spans="2:7" x14ac:dyDescent="0.3">
      <c r="B8" s="23" t="s">
        <v>15</v>
      </c>
      <c r="C8" s="38">
        <f>'Sharing ba'!C19</f>
        <v>-2.9929537166936998E-2</v>
      </c>
      <c r="D8" s="38">
        <f>'Sharing ba'!D19</f>
        <v>-3.2564810657360055E-2</v>
      </c>
      <c r="E8" s="103">
        <v>0.93750565217570292</v>
      </c>
      <c r="F8" s="103" t="str">
        <f>Ka!R23</f>
        <v>Ka &lt;= 5 %</v>
      </c>
      <c r="G8" s="104">
        <f>Ka!S23</f>
        <v>3.04E-2</v>
      </c>
    </row>
    <row r="9" spans="2:7" x14ac:dyDescent="0.3">
      <c r="B9" s="23" t="s">
        <v>16</v>
      </c>
      <c r="C9" s="38">
        <f>'Sharing ba'!C20</f>
        <v>-5.4090540941752994E-2</v>
      </c>
      <c r="D9" s="38">
        <f>'Sharing ba'!D20</f>
        <v>-3.2564810657360055E-2</v>
      </c>
      <c r="E9" s="103">
        <v>0.91334464840088692</v>
      </c>
      <c r="F9" s="103" t="str">
        <f>Ka!R24</f>
        <v>Ka &lt;= 5 %</v>
      </c>
      <c r="G9" s="104">
        <f>Ka!S24</f>
        <v>3.0300000000000001E-2</v>
      </c>
    </row>
    <row r="10" spans="2:7" x14ac:dyDescent="0.3">
      <c r="B10" s="23" t="s">
        <v>17</v>
      </c>
      <c r="C10" s="38">
        <f>'Sharing ba'!C21</f>
        <v>-9.0011571032777044E-2</v>
      </c>
      <c r="D10" s="38">
        <f>'Sharing ba'!D21</f>
        <v>-3.2564810657360055E-2</v>
      </c>
      <c r="E10" s="103">
        <v>0.87742361830986293</v>
      </c>
      <c r="F10" s="103" t="str">
        <f>Ka!R25</f>
        <v>Ka &lt;= 5 %</v>
      </c>
      <c r="G10" s="104">
        <f>Ka!S25</f>
        <v>3.0599999999999999E-2</v>
      </c>
    </row>
    <row r="11" spans="2:7" x14ac:dyDescent="0.3">
      <c r="B11" s="23" t="s">
        <v>18</v>
      </c>
      <c r="C11" s="38">
        <f>'Sharing ba'!C22</f>
        <v>-0.11896161133513466</v>
      </c>
      <c r="D11" s="38">
        <f>'Sharing ba'!D22</f>
        <v>-3.2564810657360055E-2</v>
      </c>
      <c r="E11" s="103">
        <v>0.84847357800750522</v>
      </c>
      <c r="F11" s="103" t="str">
        <f>Ka!R26</f>
        <v>Ka &lt;= 5 %</v>
      </c>
      <c r="G11" s="104">
        <f>Ka!S26</f>
        <v>3.0700000000000002E-2</v>
      </c>
    </row>
    <row r="12" spans="2:7" x14ac:dyDescent="0.3">
      <c r="B12" s="23" t="s">
        <v>19</v>
      </c>
      <c r="C12" s="38">
        <f>'Sharing ba'!C23</f>
        <v>-0.12512825618242029</v>
      </c>
      <c r="D12" s="38">
        <f>'Sharing ba'!D23</f>
        <v>-3.2564810657360055E-2</v>
      </c>
      <c r="E12" s="103">
        <v>0.84230693316021965</v>
      </c>
      <c r="F12" s="103" t="str">
        <f>Ka!R27</f>
        <v>Ka &lt;= 5 %</v>
      </c>
      <c r="G12" s="104">
        <f>Ka!S27</f>
        <v>0.04</v>
      </c>
    </row>
    <row r="13" spans="2:7" x14ac:dyDescent="0.3">
      <c r="B13" s="23" t="s">
        <v>20</v>
      </c>
      <c r="C13" s="38">
        <f>'Sharing ba'!C24</f>
        <v>-0.18880752396400155</v>
      </c>
      <c r="D13" s="38">
        <f>'Sharing ba'!D24</f>
        <v>-3.2564810657360055E-2</v>
      </c>
      <c r="E13" s="103">
        <v>0.77862766537863837</v>
      </c>
      <c r="F13" s="103" t="str">
        <f>Ka!R28</f>
        <v>Ka &lt;= 5 %</v>
      </c>
      <c r="G13" s="104">
        <f>Ka!S28</f>
        <v>3.0599999999999999E-2</v>
      </c>
    </row>
    <row r="14" spans="2:7" x14ac:dyDescent="0.3">
      <c r="B14" s="23" t="s">
        <v>21</v>
      </c>
      <c r="C14" s="38">
        <f>'Sharing ba'!C25</f>
        <v>-0.25865383203402115</v>
      </c>
      <c r="D14" s="38">
        <f>'Sharing ba'!D25</f>
        <v>-3.2564810657360055E-2</v>
      </c>
      <c r="E14" s="103">
        <v>0.7087813573086188</v>
      </c>
      <c r="F14" s="103" t="str">
        <f>Ka!R29</f>
        <v>Ka &lt;= 5 %</v>
      </c>
      <c r="G14" s="104">
        <f>Ka!S29</f>
        <v>3.0800000000000001E-2</v>
      </c>
    </row>
    <row r="15" spans="2:7" x14ac:dyDescent="0.3">
      <c r="B15" s="23" t="s">
        <v>22</v>
      </c>
      <c r="C15" s="38">
        <f>'Sharing ba'!C26</f>
        <v>-0.20875030346804777</v>
      </c>
      <c r="D15" s="38">
        <f>'Sharing ba'!D26</f>
        <v>-3.2564810657360055E-2</v>
      </c>
      <c r="E15" s="103">
        <v>0.75868488587459215</v>
      </c>
      <c r="F15" s="103" t="str">
        <f>Ka!R30</f>
        <v>Ka &lt;= 5 %</v>
      </c>
      <c r="G15" s="104">
        <f>Ka!S30</f>
        <v>3.0800000000000001E-2</v>
      </c>
    </row>
    <row r="16" spans="2:7" x14ac:dyDescent="0.3">
      <c r="B16" s="23" t="s">
        <v>23</v>
      </c>
      <c r="C16" s="38">
        <f>'Sharing ba'!C27</f>
        <v>-9.9323181632808288E-2</v>
      </c>
      <c r="D16" s="38">
        <f>'Sharing ba'!D27</f>
        <v>-3.2564810657360055E-2</v>
      </c>
      <c r="E16" s="103">
        <v>0.86811200770983166</v>
      </c>
      <c r="F16" s="103" t="str">
        <f>Ka!R31</f>
        <v>Ka &lt;= 5 %</v>
      </c>
      <c r="G16" s="104">
        <f>Ka!S31</f>
        <v>3.0499999999999999E-2</v>
      </c>
    </row>
    <row r="17" spans="2:7" x14ac:dyDescent="0.3">
      <c r="B17" s="23" t="s">
        <v>24</v>
      </c>
      <c r="C17" s="38">
        <f>'Sharing ba'!C28</f>
        <v>-0.14690258016038632</v>
      </c>
      <c r="D17" s="38">
        <f>'Sharing ba'!D28</f>
        <v>-3.2564810657360055E-2</v>
      </c>
      <c r="E17" s="103">
        <v>0.82053260918225357</v>
      </c>
      <c r="F17" s="103" t="str">
        <f>Ka!R32</f>
        <v>Ka &lt;= 7 %</v>
      </c>
      <c r="G17" s="104">
        <f>Ka!S32</f>
        <v>0.04</v>
      </c>
    </row>
    <row r="18" spans="2:7" x14ac:dyDescent="0.3">
      <c r="B18" s="23" t="s">
        <v>25</v>
      </c>
      <c r="C18" s="38">
        <f>'Sharing ba'!C29</f>
        <v>0</v>
      </c>
      <c r="D18" s="38">
        <f>'Sharing ba'!D29</f>
        <v>-3.2564810657360055E-2</v>
      </c>
      <c r="E18" s="103">
        <v>0.96743518934263995</v>
      </c>
      <c r="F18" s="103" t="str">
        <f>Ka!R33</f>
        <v>Ka &lt;= 5 %</v>
      </c>
      <c r="G18" s="104">
        <f>Ka!S33</f>
        <v>3.0700000000000002E-2</v>
      </c>
    </row>
    <row r="19" spans="2:7" x14ac:dyDescent="0.3">
      <c r="B19" s="23" t="s">
        <v>26</v>
      </c>
      <c r="C19" s="38">
        <f>'Sharing ba'!C30</f>
        <v>-0.11642516852607161</v>
      </c>
      <c r="D19" s="38">
        <f>'Sharing ba'!D30</f>
        <v>-3.2564810657360055E-2</v>
      </c>
      <c r="E19" s="103">
        <v>0.85101002081656829</v>
      </c>
      <c r="F19" s="103" t="str">
        <f>Ka!R34</f>
        <v>Ka &lt;= 5 %</v>
      </c>
      <c r="G19" s="104">
        <f>Ka!S34</f>
        <v>3.0700000000000002E-2</v>
      </c>
    </row>
    <row r="20" spans="2:7" x14ac:dyDescent="0.3">
      <c r="B20" s="23" t="s">
        <v>27</v>
      </c>
      <c r="C20" s="38">
        <f>'Sharing ba'!C31</f>
        <v>-0.10959934528939959</v>
      </c>
      <c r="D20" s="38">
        <f>'Sharing ba'!D31</f>
        <v>-3.2564810657360055E-2</v>
      </c>
      <c r="E20" s="103">
        <v>0.85783584405324032</v>
      </c>
      <c r="F20" s="103" t="str">
        <f>Ka!R35</f>
        <v>Ka &lt;= 5 %</v>
      </c>
      <c r="G20" s="104">
        <f>Ka!S35</f>
        <v>3.0599999999999999E-2</v>
      </c>
    </row>
    <row r="21" spans="2:7" x14ac:dyDescent="0.3">
      <c r="B21" s="23" t="s">
        <v>28</v>
      </c>
      <c r="C21" s="38">
        <f>'Sharing ba'!C32</f>
        <v>-5.0254004127075411E-2</v>
      </c>
      <c r="D21" s="38">
        <f>'Sharing ba'!D32</f>
        <v>-3.2564810657360055E-2</v>
      </c>
      <c r="E21" s="103">
        <v>0.91718118521556458</v>
      </c>
      <c r="F21" s="103" t="str">
        <f>Ka!R36</f>
        <v>Ka &lt;= 5 %</v>
      </c>
      <c r="G21" s="104">
        <f>Ka!S36</f>
        <v>3.04E-2</v>
      </c>
    </row>
    <row r="22" spans="2:7" x14ac:dyDescent="0.3">
      <c r="B22" s="23" t="s">
        <v>29</v>
      </c>
      <c r="C22" s="38">
        <f>'Sharing ba'!C33</f>
        <v>0</v>
      </c>
      <c r="D22" s="38">
        <f>'Sharing ba'!D33</f>
        <v>-3.2564810657360055E-2</v>
      </c>
      <c r="E22" s="103">
        <v>0.96743518934263995</v>
      </c>
      <c r="F22" s="103" t="str">
        <f>Ka!R37</f>
        <v>Ka &lt;= 5 %</v>
      </c>
      <c r="G22" s="104">
        <f>Ka!S37</f>
        <v>3.0499999999999999E-2</v>
      </c>
    </row>
    <row r="23" spans="2:7" x14ac:dyDescent="0.3">
      <c r="B23" s="23" t="s">
        <v>30</v>
      </c>
      <c r="C23" s="38">
        <f>'Sharing ba'!C34</f>
        <v>-5.9584271841046817E-2</v>
      </c>
      <c r="D23" s="38">
        <f>'Sharing ba'!D34</f>
        <v>-3.2564810657360055E-2</v>
      </c>
      <c r="E23" s="103">
        <v>0.90785091750159319</v>
      </c>
      <c r="F23" s="103" t="str">
        <f>Ka!R38</f>
        <v>Ka &lt;= 5 %</v>
      </c>
      <c r="G23" s="104">
        <f>Ka!S38</f>
        <v>3.0499999999999999E-2</v>
      </c>
    </row>
    <row r="24" spans="2:7" x14ac:dyDescent="0.3">
      <c r="B24" s="23" t="s">
        <v>31</v>
      </c>
      <c r="C24" s="38">
        <f>'Sharing ba'!C35</f>
        <v>-0.12386399326765425</v>
      </c>
      <c r="D24" s="38">
        <f>'Sharing ba'!D35</f>
        <v>-3.2564810657360055E-2</v>
      </c>
      <c r="E24" s="103">
        <v>0.84357119607498565</v>
      </c>
      <c r="F24" s="103" t="str">
        <f>Ka!R39</f>
        <v>Ka &lt;= 5 %</v>
      </c>
      <c r="G24" s="104">
        <f>Ka!S39</f>
        <v>3.0499999999999999E-2</v>
      </c>
    </row>
  </sheetData>
  <mergeCells count="2">
    <mergeCell ref="F3:F4"/>
    <mergeCell ref="G3:G4"/>
  </mergeCells>
  <pageMargins left="0.7" right="0.7" top="0.75" bottom="0.7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1A870-A5E1-4A05-8E4B-0C59CE20FD87}">
  <dimension ref="B7:AD45"/>
  <sheetViews>
    <sheetView tabSelected="1" topLeftCell="A7" zoomScale="60" zoomScaleNormal="60" workbookViewId="0">
      <selection activeCell="H12" sqref="H12"/>
    </sheetView>
  </sheetViews>
  <sheetFormatPr defaultColWidth="9.109375" defaultRowHeight="14.4" x14ac:dyDescent="0.3"/>
  <cols>
    <col min="1" max="1" width="9.109375" style="1"/>
    <col min="2" max="2" width="30.109375" style="1" customWidth="1"/>
    <col min="3" max="5" width="18.6640625" style="1" customWidth="1"/>
    <col min="6" max="6" width="16.109375" style="1" customWidth="1"/>
    <col min="7" max="7" width="12.5546875" style="1" customWidth="1"/>
    <col min="8" max="12" width="15.5546875" style="1" customWidth="1"/>
    <col min="13" max="13" width="21.6640625" style="1" customWidth="1"/>
    <col min="14" max="14" width="15.5546875" style="1" customWidth="1"/>
    <col min="15" max="15" width="21.5546875" style="1" customWidth="1"/>
    <col min="16" max="16" width="15.5546875" style="1" customWidth="1"/>
    <col min="17" max="18" width="25.109375" style="1" customWidth="1"/>
    <col min="19" max="19" width="2.6640625" style="1" customWidth="1"/>
    <col min="20" max="28" width="15.5546875" style="1" customWidth="1"/>
    <col min="29" max="29" width="14.21875" style="1" bestFit="1" customWidth="1"/>
    <col min="30" max="16384" width="9.109375" style="1"/>
  </cols>
  <sheetData>
    <row r="7" spans="9:9" ht="25.8" x14ac:dyDescent="0.3">
      <c r="I7" s="141" t="s">
        <v>116</v>
      </c>
    </row>
    <row r="24" spans="2:30" ht="117.6" customHeight="1" x14ac:dyDescent="0.3">
      <c r="C24" s="107" t="s">
        <v>37</v>
      </c>
      <c r="D24" s="108"/>
      <c r="E24" s="108"/>
      <c r="F24" s="109"/>
      <c r="G24" s="110" t="s">
        <v>91</v>
      </c>
      <c r="H24" s="5" t="s">
        <v>33</v>
      </c>
      <c r="I24" s="5" t="s">
        <v>5</v>
      </c>
      <c r="J24" s="105" t="s">
        <v>34</v>
      </c>
      <c r="K24" s="106"/>
      <c r="L24" s="21" t="s">
        <v>36</v>
      </c>
      <c r="M24" s="112" t="s">
        <v>40</v>
      </c>
      <c r="N24" s="112"/>
      <c r="O24" s="112"/>
      <c r="P24" s="112"/>
      <c r="Q24" s="112"/>
      <c r="R24" s="112"/>
      <c r="X24" s="28">
        <f>X25</f>
        <v>-0.98</v>
      </c>
      <c r="Z24" s="28">
        <f>Z25</f>
        <v>0.98</v>
      </c>
    </row>
    <row r="25" spans="2:30" x14ac:dyDescent="0.3">
      <c r="C25" s="22" t="s">
        <v>38</v>
      </c>
      <c r="D25" s="22" t="s">
        <v>39</v>
      </c>
      <c r="E25" s="22" t="s">
        <v>110</v>
      </c>
      <c r="F25" s="22" t="s">
        <v>109</v>
      </c>
      <c r="G25" s="111"/>
      <c r="H25" s="5" t="s">
        <v>0</v>
      </c>
      <c r="I25" s="5" t="s">
        <v>1</v>
      </c>
      <c r="J25" s="5" t="s">
        <v>35</v>
      </c>
      <c r="K25" s="5" t="s">
        <v>36</v>
      </c>
      <c r="L25" s="48">
        <v>0.5</v>
      </c>
      <c r="M25" s="112"/>
      <c r="N25" s="112"/>
      <c r="O25" s="112"/>
      <c r="P25" s="112"/>
      <c r="Q25" s="112"/>
      <c r="R25" s="112"/>
      <c r="X25" s="50">
        <v>-0.98</v>
      </c>
      <c r="Y25" s="51">
        <v>0</v>
      </c>
      <c r="Z25" s="50">
        <v>0.98</v>
      </c>
    </row>
    <row r="26" spans="2:30" ht="15" thickBot="1" x14ac:dyDescent="0.35">
      <c r="H26" s="5"/>
      <c r="I26" s="5"/>
      <c r="J26" s="5"/>
      <c r="K26" s="5"/>
      <c r="L26" s="19"/>
      <c r="M26" s="49" t="s">
        <v>41</v>
      </c>
      <c r="N26" s="49" t="s">
        <v>42</v>
      </c>
      <c r="O26" s="49" t="s">
        <v>42</v>
      </c>
      <c r="P26" s="49" t="s">
        <v>43</v>
      </c>
      <c r="Q26" s="19"/>
      <c r="R26" s="19" t="s">
        <v>45</v>
      </c>
      <c r="X26" s="51">
        <v>0.3</v>
      </c>
      <c r="Y26" s="51">
        <v>0.2</v>
      </c>
      <c r="Z26" s="51">
        <v>0.10100000000000001</v>
      </c>
    </row>
    <row r="27" spans="2:30" ht="21.6" thickBot="1" x14ac:dyDescent="0.35">
      <c r="B27" s="23" t="s">
        <v>13</v>
      </c>
      <c r="C27" s="90">
        <v>1771014.2999178371</v>
      </c>
      <c r="D27" s="90">
        <v>1716133.1298193242</v>
      </c>
      <c r="E27" s="84">
        <v>7882.0929999999998</v>
      </c>
      <c r="F27" s="72">
        <f>(C27+D27)/E27</f>
        <v>442.41389054114961</v>
      </c>
      <c r="G27" s="90">
        <v>351.23</v>
      </c>
      <c r="H27" s="37">
        <f>'[1]Y1a - Y2a'!N36+'[1]Y1a - Y2a'!P36</f>
        <v>-0.21897592841628893</v>
      </c>
      <c r="I27" s="37">
        <f>'[1]Y1a - Y2a'!N64+'[1]Y1a - Y2a'!P64</f>
        <v>-3.2564810657360055E-2</v>
      </c>
      <c r="J27" s="15">
        <f>H27+I27</f>
        <v>-0.25154073907364899</v>
      </c>
      <c r="K27" s="15">
        <f>1+J27</f>
        <v>0.74845926092635096</v>
      </c>
      <c r="L27" s="18"/>
      <c r="M27" s="16" t="b">
        <f>IF(K27&lt;=$L$25,IF(F27&gt;G27,1,0))</f>
        <v>0</v>
      </c>
      <c r="N27" s="16" t="b">
        <f>IF(K27&lt;=$L$25,IF(F27&lt;=G27,1,0))</f>
        <v>0</v>
      </c>
      <c r="O27" s="16">
        <f>IF(K27&gt;$L$25,IF(F27&gt;G27,1,0))</f>
        <v>1</v>
      </c>
      <c r="P27" s="16">
        <f>IF(K27&gt;$L$25,IF(F27&lt;=G27,1,0))</f>
        <v>0</v>
      </c>
      <c r="Q27" s="20" t="str">
        <f>IF(M27=1,$M$26,IF(N27=1,$N$26,IF(O27=1,$O$26,IF(P27=1,$P$26))))</f>
        <v>0,1 &lt; Xa &lt;= 0,3 %</v>
      </c>
      <c r="R27" s="71">
        <f>AC27/10000</f>
        <v>1.8E-3</v>
      </c>
      <c r="T27" s="26">
        <f>(F27-G27)/G27</f>
        <v>0.25961304712339378</v>
      </c>
      <c r="U27" s="26">
        <f>(K27-$L$25)/$L$25</f>
        <v>0.49691852185270191</v>
      </c>
      <c r="V27" s="27">
        <f>U27-T27</f>
        <v>0.23730547472930813</v>
      </c>
      <c r="W27" s="28">
        <f>V27</f>
        <v>0.23730547472930813</v>
      </c>
      <c r="X27" s="28">
        <f>IF(W27&lt;0,($X$24-W27)*10%+$X$26,0)</f>
        <v>0</v>
      </c>
      <c r="Y27" s="28">
        <f>IF(W27=0,$Y$26,0)</f>
        <v>0</v>
      </c>
      <c r="Z27" s="29">
        <f>IF(W27&gt;0,($Z$24-W27)*10%+$Z$26,0)</f>
        <v>0.17526945252706919</v>
      </c>
      <c r="AA27" s="32">
        <f>X27+Y27+Z27</f>
        <v>0.17526945252706919</v>
      </c>
      <c r="AB27" s="32">
        <f>AA27*100</f>
        <v>17.52694525270692</v>
      </c>
      <c r="AC27" s="32">
        <f>ROUND(AB27,0.0001)</f>
        <v>18</v>
      </c>
      <c r="AD27" s="1" t="s">
        <v>112</v>
      </c>
    </row>
    <row r="28" spans="2:30" ht="21.6" thickBot="1" x14ac:dyDescent="0.35">
      <c r="B28" s="23" t="s">
        <v>14</v>
      </c>
      <c r="C28" s="90">
        <v>902583.28095742513</v>
      </c>
      <c r="D28" s="90">
        <v>619458.59153531538</v>
      </c>
      <c r="E28" s="84">
        <v>3982.922</v>
      </c>
      <c r="F28" s="72">
        <f t="shared" ref="F28:F45" si="0">(C28+D28)/E28</f>
        <v>382.14202349248626</v>
      </c>
      <c r="G28" s="90">
        <v>295.10000000000002</v>
      </c>
      <c r="H28" s="37">
        <f>'[1]Y1a - Y2a'!N37+'[1]Y1a - Y2a'!P37</f>
        <v>-1.1691029944589891E-3</v>
      </c>
      <c r="I28" s="37">
        <f>'[1]Y1a - Y2a'!N65+'[1]Y1a - Y2a'!P65</f>
        <v>-3.2564810657360055E-2</v>
      </c>
      <c r="J28" s="15">
        <f t="shared" ref="J28:J45" si="1">H28+I28</f>
        <v>-3.3733913651819047E-2</v>
      </c>
      <c r="K28" s="15">
        <f t="shared" ref="K28:K45" si="2">1+J28</f>
        <v>0.9662660863481809</v>
      </c>
      <c r="L28" s="18"/>
      <c r="M28" s="16" t="b">
        <f>IF(K28&lt;=$L$25,IF(F28&gt;G28,1,0))</f>
        <v>0</v>
      </c>
      <c r="N28" s="16" t="b">
        <f>IF(K28&lt;=$L$25,IF(F28&lt;=G28,1,0))</f>
        <v>0</v>
      </c>
      <c r="O28" s="16">
        <f>IF(K28&gt;$L$25,IF(F28&gt;G28,1,0))</f>
        <v>1</v>
      </c>
      <c r="P28" s="16">
        <f>IF(K28&gt;$L$25,IF(F28&lt;=G28,1,0))</f>
        <v>0</v>
      </c>
      <c r="Q28" s="20" t="str">
        <f>IF(M28=1,$M$26,IF(N28=1,$N$26,IF(O28=1,$O$26,IF(P28=1,$P$26))))</f>
        <v>0,1 &lt; Xa &lt;= 0,3 %</v>
      </c>
      <c r="R28" s="71">
        <f t="shared" ref="R28:R37" si="3">AC28/10000</f>
        <v>1.4E-3</v>
      </c>
      <c r="T28" s="26">
        <f t="shared" ref="T28:T45" si="4">(F28-G28)/G28</f>
        <v>0.29495772108602586</v>
      </c>
      <c r="U28" s="26">
        <f t="shared" ref="U28:U45" si="5">(K28-$L$25)/$L$25</f>
        <v>0.93253217269636179</v>
      </c>
      <c r="V28" s="27">
        <f t="shared" ref="V28:V45" si="6">U28-T28</f>
        <v>0.63757445161033588</v>
      </c>
      <c r="W28" s="28">
        <f t="shared" ref="W28:W45" si="7">V28</f>
        <v>0.63757445161033588</v>
      </c>
      <c r="X28" s="28">
        <f t="shared" ref="X28:X45" si="8">IF(W28&lt;0,($X$24-W28)*10%+$X$26,0)</f>
        <v>0</v>
      </c>
      <c r="Y28" s="28">
        <f t="shared" ref="Y28:Y45" si="9">IF(W28=0,$Y$26,0)</f>
        <v>0</v>
      </c>
      <c r="Z28" s="28">
        <f t="shared" ref="Z28:Z45" si="10">IF(W28&gt;0,($Z$24-W28)*10%+$Z$26,0)</f>
        <v>0.13524255483896641</v>
      </c>
      <c r="AA28" s="31">
        <f t="shared" ref="AA28:AA45" si="11">X28+Y28+Z28</f>
        <v>0.13524255483896641</v>
      </c>
      <c r="AB28" s="32">
        <f t="shared" ref="AB28:AB45" si="12">AA28*100</f>
        <v>13.524255483896642</v>
      </c>
      <c r="AC28" s="32">
        <f t="shared" ref="AC28:AC45" si="13">ROUND(AB28,0.0001)</f>
        <v>14</v>
      </c>
    </row>
    <row r="29" spans="2:30" ht="21.6" thickBot="1" x14ac:dyDescent="0.35">
      <c r="B29" s="23" t="s">
        <v>15</v>
      </c>
      <c r="C29" s="90">
        <v>709268.49790821027</v>
      </c>
      <c r="D29" s="90">
        <v>329695.38044704765</v>
      </c>
      <c r="E29" s="84">
        <v>2878.8040000000001</v>
      </c>
      <c r="F29" s="72">
        <f t="shared" si="0"/>
        <v>360.90122090814725</v>
      </c>
      <c r="G29" s="90">
        <v>273.05</v>
      </c>
      <c r="H29" s="37">
        <f>'[1]Y1a - Y2a'!N38+'[1]Y1a - Y2a'!P38</f>
        <v>-2.9929537166936998E-2</v>
      </c>
      <c r="I29" s="37">
        <f>'[1]Y1a - Y2a'!N66+'[1]Y1a - Y2a'!P66</f>
        <v>-3.2564810657360055E-2</v>
      </c>
      <c r="J29" s="15">
        <f t="shared" si="1"/>
        <v>-6.2494347824297053E-2</v>
      </c>
      <c r="K29" s="15">
        <f t="shared" si="2"/>
        <v>0.93750565217570292</v>
      </c>
      <c r="L29" s="18"/>
      <c r="M29" s="16" t="b">
        <f t="shared" ref="M29:M45" si="14">IF(K29&lt;=$L$25,IF(F29&gt;G29,1,0))</f>
        <v>0</v>
      </c>
      <c r="N29" s="16" t="b">
        <f t="shared" ref="N29:N45" si="15">IF(K29&lt;=$L$25,IF(F29&lt;=G29,1,0))</f>
        <v>0</v>
      </c>
      <c r="O29" s="16">
        <f t="shared" ref="O29:O45" si="16">IF(K29&gt;$L$25,IF(F29&gt;G29,1,0))</f>
        <v>1</v>
      </c>
      <c r="P29" s="16">
        <f t="shared" ref="P29:P45" si="17">IF(K29&gt;$L$25,IF(F29&lt;=G29,1,0))</f>
        <v>0</v>
      </c>
      <c r="Q29" s="20" t="str">
        <f t="shared" ref="Q29:Q45" si="18">IF(M29=1,$M$26,IF(N29=1,$N$26,IF(O29=1,$O$26,IF(P29=1,$P$26))))</f>
        <v>0,1 &lt; Xa &lt;= 0,3 %</v>
      </c>
      <c r="R29" s="71">
        <f t="shared" si="3"/>
        <v>1.4E-3</v>
      </c>
      <c r="T29" s="26">
        <f t="shared" si="4"/>
        <v>0.32174041716955587</v>
      </c>
      <c r="U29" s="26">
        <f t="shared" si="5"/>
        <v>0.87501130435140584</v>
      </c>
      <c r="V29" s="27">
        <f t="shared" si="6"/>
        <v>0.55327088718184991</v>
      </c>
      <c r="W29" s="28">
        <f t="shared" si="7"/>
        <v>0.55327088718184991</v>
      </c>
      <c r="X29" s="28">
        <f t="shared" si="8"/>
        <v>0</v>
      </c>
      <c r="Y29" s="28">
        <f t="shared" si="9"/>
        <v>0</v>
      </c>
      <c r="Z29" s="28">
        <f t="shared" si="10"/>
        <v>0.14367291128181503</v>
      </c>
      <c r="AA29" s="31">
        <f t="shared" si="11"/>
        <v>0.14367291128181503</v>
      </c>
      <c r="AB29" s="32">
        <f t="shared" si="12"/>
        <v>14.367291128181503</v>
      </c>
      <c r="AC29" s="32">
        <f t="shared" si="13"/>
        <v>14</v>
      </c>
    </row>
    <row r="30" spans="2:30" ht="21.6" thickBot="1" x14ac:dyDescent="0.35">
      <c r="B30" s="23" t="s">
        <v>16</v>
      </c>
      <c r="C30" s="90">
        <v>743304.63680499233</v>
      </c>
      <c r="D30" s="90">
        <v>685671.48800152692</v>
      </c>
      <c r="E30" s="84">
        <v>4269.1459999999997</v>
      </c>
      <c r="F30" s="72">
        <f t="shared" si="0"/>
        <v>334.72177452036527</v>
      </c>
      <c r="G30" s="90">
        <v>292.54000000000002</v>
      </c>
      <c r="H30" s="37">
        <f>'[1]Y1a - Y2a'!N39+'[1]Y1a - Y2a'!P39</f>
        <v>-5.4090540941752994E-2</v>
      </c>
      <c r="I30" s="37">
        <f>'[1]Y1a - Y2a'!N67+'[1]Y1a - Y2a'!P67</f>
        <v>-3.2564810657360055E-2</v>
      </c>
      <c r="J30" s="15">
        <f t="shared" si="1"/>
        <v>-8.6655351599113056E-2</v>
      </c>
      <c r="K30" s="15">
        <f t="shared" si="2"/>
        <v>0.91334464840088692</v>
      </c>
      <c r="L30" s="18"/>
      <c r="M30" s="16" t="b">
        <f t="shared" si="14"/>
        <v>0</v>
      </c>
      <c r="N30" s="16" t="b">
        <f t="shared" si="15"/>
        <v>0</v>
      </c>
      <c r="O30" s="16">
        <f t="shared" si="16"/>
        <v>1</v>
      </c>
      <c r="P30" s="16">
        <f t="shared" si="17"/>
        <v>0</v>
      </c>
      <c r="Q30" s="20" t="str">
        <f t="shared" si="18"/>
        <v>0,1 &lt; Xa &lt;= 0,3 %</v>
      </c>
      <c r="R30" s="71">
        <f t="shared" si="3"/>
        <v>1.2999999999999999E-3</v>
      </c>
      <c r="T30" s="26">
        <f t="shared" si="4"/>
        <v>0.14419147644891381</v>
      </c>
      <c r="U30" s="26">
        <f t="shared" si="5"/>
        <v>0.82668929680177383</v>
      </c>
      <c r="V30" s="27">
        <f t="shared" si="6"/>
        <v>0.68249782035286</v>
      </c>
      <c r="W30" s="28">
        <f t="shared" si="7"/>
        <v>0.68249782035286</v>
      </c>
      <c r="X30" s="28">
        <f t="shared" si="8"/>
        <v>0</v>
      </c>
      <c r="Y30" s="28">
        <f t="shared" si="9"/>
        <v>0</v>
      </c>
      <c r="Z30" s="28">
        <f t="shared" si="10"/>
        <v>0.13075021796471401</v>
      </c>
      <c r="AA30" s="31">
        <f t="shared" si="11"/>
        <v>0.13075021796471401</v>
      </c>
      <c r="AB30" s="32">
        <f t="shared" si="12"/>
        <v>13.0750217964714</v>
      </c>
      <c r="AC30" s="32">
        <f t="shared" si="13"/>
        <v>13</v>
      </c>
    </row>
    <row r="31" spans="2:30" ht="21.6" thickBot="1" x14ac:dyDescent="0.35">
      <c r="B31" s="23" t="s">
        <v>17</v>
      </c>
      <c r="C31" s="90">
        <v>192166.1311026453</v>
      </c>
      <c r="D31" s="90">
        <v>109866.10797308965</v>
      </c>
      <c r="E31" s="84">
        <v>827.94500000000005</v>
      </c>
      <c r="F31" s="72">
        <f t="shared" si="0"/>
        <v>364.79746731453776</v>
      </c>
      <c r="G31" s="90">
        <v>266.42</v>
      </c>
      <c r="H31" s="37">
        <f>'[1]Y1a - Y2a'!N40+'[1]Y1a - Y2a'!P40</f>
        <v>-9.0011571032777044E-2</v>
      </c>
      <c r="I31" s="37">
        <f>'[1]Y1a - Y2a'!N68+'[1]Y1a - Y2a'!P68</f>
        <v>-3.2564810657360055E-2</v>
      </c>
      <c r="J31" s="15">
        <f t="shared" si="1"/>
        <v>-0.1225763816901371</v>
      </c>
      <c r="K31" s="15">
        <f t="shared" si="2"/>
        <v>0.87742361830986293</v>
      </c>
      <c r="L31" s="18"/>
      <c r="M31" s="16" t="b">
        <f t="shared" si="14"/>
        <v>0</v>
      </c>
      <c r="N31" s="16" t="b">
        <f t="shared" si="15"/>
        <v>0</v>
      </c>
      <c r="O31" s="16">
        <f t="shared" si="16"/>
        <v>1</v>
      </c>
      <c r="P31" s="16">
        <f t="shared" si="17"/>
        <v>0</v>
      </c>
      <c r="Q31" s="20" t="str">
        <f t="shared" si="18"/>
        <v>0,1 &lt; Xa &lt;= 0,3 %</v>
      </c>
      <c r="R31" s="71">
        <f t="shared" si="3"/>
        <v>1.6000000000000001E-3</v>
      </c>
      <c r="T31" s="26">
        <f t="shared" si="4"/>
        <v>0.36925706521484025</v>
      </c>
      <c r="U31" s="26">
        <f t="shared" si="5"/>
        <v>0.75484723661972586</v>
      </c>
      <c r="V31" s="27">
        <f t="shared" si="6"/>
        <v>0.38559017140488561</v>
      </c>
      <c r="W31" s="28">
        <f t="shared" si="7"/>
        <v>0.38559017140488561</v>
      </c>
      <c r="X31" s="28">
        <f t="shared" si="8"/>
        <v>0</v>
      </c>
      <c r="Y31" s="28">
        <f t="shared" si="9"/>
        <v>0</v>
      </c>
      <c r="Z31" s="28">
        <f t="shared" si="10"/>
        <v>0.16044098285951144</v>
      </c>
      <c r="AA31" s="31">
        <f t="shared" si="11"/>
        <v>0.16044098285951144</v>
      </c>
      <c r="AB31" s="32">
        <f t="shared" si="12"/>
        <v>16.044098285951144</v>
      </c>
      <c r="AC31" s="32">
        <f t="shared" si="13"/>
        <v>16</v>
      </c>
    </row>
    <row r="32" spans="2:30" ht="21.6" thickBot="1" x14ac:dyDescent="0.35">
      <c r="B32" s="23" t="s">
        <v>18</v>
      </c>
      <c r="C32" s="90">
        <v>838933.16891140584</v>
      </c>
      <c r="D32" s="90">
        <v>663023.23350515403</v>
      </c>
      <c r="E32" s="84">
        <v>3827.596</v>
      </c>
      <c r="F32" s="72">
        <f t="shared" si="0"/>
        <v>392.40202007123003</v>
      </c>
      <c r="G32" s="90">
        <v>282.5</v>
      </c>
      <c r="H32" s="37">
        <f>'[1]Y1a - Y2a'!N41+'[1]Y1a - Y2a'!P41</f>
        <v>-0.11896161133513466</v>
      </c>
      <c r="I32" s="37">
        <f>'[1]Y1a - Y2a'!N69+'[1]Y1a - Y2a'!P69</f>
        <v>-3.2564810657360055E-2</v>
      </c>
      <c r="J32" s="15">
        <f t="shared" si="1"/>
        <v>-0.15152642199249472</v>
      </c>
      <c r="K32" s="15">
        <f t="shared" si="2"/>
        <v>0.84847357800750522</v>
      </c>
      <c r="L32" s="18"/>
      <c r="M32" s="16" t="b">
        <f t="shared" si="14"/>
        <v>0</v>
      </c>
      <c r="N32" s="16" t="b">
        <f t="shared" si="15"/>
        <v>0</v>
      </c>
      <c r="O32" s="16">
        <f t="shared" si="16"/>
        <v>1</v>
      </c>
      <c r="P32" s="16">
        <f t="shared" si="17"/>
        <v>0</v>
      </c>
      <c r="Q32" s="20" t="str">
        <f t="shared" si="18"/>
        <v>0,1 &lt; Xa &lt;= 0,3 %</v>
      </c>
      <c r="R32" s="71">
        <f t="shared" si="3"/>
        <v>1.6999999999999999E-3</v>
      </c>
      <c r="T32" s="26">
        <f t="shared" si="4"/>
        <v>0.38903369936718596</v>
      </c>
      <c r="U32" s="26">
        <f t="shared" si="5"/>
        <v>0.69694715601501045</v>
      </c>
      <c r="V32" s="27">
        <f t="shared" si="6"/>
        <v>0.30791345664782449</v>
      </c>
      <c r="W32" s="28">
        <f t="shared" si="7"/>
        <v>0.30791345664782449</v>
      </c>
      <c r="X32" s="28">
        <f t="shared" si="8"/>
        <v>0</v>
      </c>
      <c r="Y32" s="28">
        <f t="shared" si="9"/>
        <v>0</v>
      </c>
      <c r="Z32" s="28">
        <f t="shared" si="10"/>
        <v>0.16820865433521753</v>
      </c>
      <c r="AA32" s="31">
        <f t="shared" si="11"/>
        <v>0.16820865433521753</v>
      </c>
      <c r="AB32" s="32">
        <f t="shared" si="12"/>
        <v>16.820865433521753</v>
      </c>
      <c r="AC32" s="32">
        <f t="shared" si="13"/>
        <v>17</v>
      </c>
    </row>
    <row r="33" spans="2:29" ht="21.6" thickBot="1" x14ac:dyDescent="0.35">
      <c r="B33" s="23" t="s">
        <v>19</v>
      </c>
      <c r="C33" s="90">
        <v>84922.190415840945</v>
      </c>
      <c r="D33" s="90">
        <v>38849.815877546294</v>
      </c>
      <c r="E33" s="84">
        <v>335.589</v>
      </c>
      <c r="F33" s="72">
        <f t="shared" si="0"/>
        <v>368.82021250215962</v>
      </c>
      <c r="G33" s="90">
        <v>333.97</v>
      </c>
      <c r="H33" s="37">
        <f>'[1]Y1a - Y2a'!N42+'[1]Y1a - Y2a'!P42</f>
        <v>-0.12512825618242029</v>
      </c>
      <c r="I33" s="37">
        <f>'[1]Y1a - Y2a'!N70+'[1]Y1a - Y2a'!P70</f>
        <v>-3.2564810657360055E-2</v>
      </c>
      <c r="J33" s="15">
        <f t="shared" si="1"/>
        <v>-0.15769306683978035</v>
      </c>
      <c r="K33" s="15">
        <f t="shared" si="2"/>
        <v>0.84230693316021965</v>
      </c>
      <c r="L33" s="18"/>
      <c r="M33" s="16" t="b">
        <f t="shared" si="14"/>
        <v>0</v>
      </c>
      <c r="N33" s="16" t="b">
        <f t="shared" si="15"/>
        <v>0</v>
      </c>
      <c r="O33" s="16">
        <f t="shared" si="16"/>
        <v>1</v>
      </c>
      <c r="P33" s="16">
        <f t="shared" si="17"/>
        <v>0</v>
      </c>
      <c r="Q33" s="20" t="str">
        <f t="shared" si="18"/>
        <v>0,1 &lt; Xa &lt;= 0,3 %</v>
      </c>
      <c r="R33" s="71">
        <f t="shared" si="3"/>
        <v>1.4E-3</v>
      </c>
      <c r="T33" s="26">
        <f t="shared" si="4"/>
        <v>0.10435132647291551</v>
      </c>
      <c r="U33" s="26">
        <f t="shared" si="5"/>
        <v>0.6846138663204393</v>
      </c>
      <c r="V33" s="27">
        <f t="shared" si="6"/>
        <v>0.58026253984752385</v>
      </c>
      <c r="W33" s="28">
        <f t="shared" si="7"/>
        <v>0.58026253984752385</v>
      </c>
      <c r="X33" s="28">
        <f t="shared" si="8"/>
        <v>0</v>
      </c>
      <c r="Y33" s="28">
        <f t="shared" si="9"/>
        <v>0</v>
      </c>
      <c r="Z33" s="28">
        <f t="shared" si="10"/>
        <v>0.14097374601524762</v>
      </c>
      <c r="AA33" s="31">
        <f t="shared" si="11"/>
        <v>0.14097374601524762</v>
      </c>
      <c r="AB33" s="32">
        <f t="shared" si="12"/>
        <v>14.097374601524763</v>
      </c>
      <c r="AC33" s="32">
        <f t="shared" si="13"/>
        <v>14</v>
      </c>
    </row>
    <row r="34" spans="2:29" ht="21.6" thickBot="1" x14ac:dyDescent="0.35">
      <c r="B34" s="23" t="s">
        <v>20</v>
      </c>
      <c r="C34" s="90">
        <v>5827611.1416605413</v>
      </c>
      <c r="D34" s="90">
        <v>4555065.2240856253</v>
      </c>
      <c r="E34" s="84">
        <v>25716.871999999999</v>
      </c>
      <c r="F34" s="72">
        <f t="shared" si="0"/>
        <v>403.7301412763639</v>
      </c>
      <c r="G34" s="90">
        <v>337.97</v>
      </c>
      <c r="H34" s="37">
        <f>'[1]Y1a - Y2a'!N43+'[1]Y1a - Y2a'!P43</f>
        <v>-0.18880752396400155</v>
      </c>
      <c r="I34" s="37">
        <f>'[1]Y1a - Y2a'!N71+'[1]Y1a - Y2a'!P71</f>
        <v>-3.2564810657360055E-2</v>
      </c>
      <c r="J34" s="15">
        <f t="shared" si="1"/>
        <v>-0.22137233462136161</v>
      </c>
      <c r="K34" s="15">
        <f t="shared" si="2"/>
        <v>0.77862766537863837</v>
      </c>
      <c r="L34" s="18"/>
      <c r="M34" s="16" t="b">
        <f t="shared" si="14"/>
        <v>0</v>
      </c>
      <c r="N34" s="16" t="b">
        <f t="shared" si="15"/>
        <v>0</v>
      </c>
      <c r="O34" s="16">
        <f t="shared" si="16"/>
        <v>1</v>
      </c>
      <c r="P34" s="16">
        <f t="shared" si="17"/>
        <v>0</v>
      </c>
      <c r="Q34" s="20" t="str">
        <f t="shared" si="18"/>
        <v>0,1 &lt; Xa &lt;= 0,3 %</v>
      </c>
      <c r="R34" s="71">
        <f t="shared" si="3"/>
        <v>1.6000000000000001E-3</v>
      </c>
      <c r="T34" s="26">
        <f t="shared" si="4"/>
        <v>0.19457390086801746</v>
      </c>
      <c r="U34" s="26">
        <f t="shared" si="5"/>
        <v>0.55725533075727673</v>
      </c>
      <c r="V34" s="27">
        <f t="shared" si="6"/>
        <v>0.36268142988925928</v>
      </c>
      <c r="W34" s="28">
        <f t="shared" si="7"/>
        <v>0.36268142988925928</v>
      </c>
      <c r="X34" s="28">
        <f t="shared" si="8"/>
        <v>0</v>
      </c>
      <c r="Y34" s="28">
        <f t="shared" si="9"/>
        <v>0</v>
      </c>
      <c r="Z34" s="28">
        <f t="shared" si="10"/>
        <v>0.16273185701107407</v>
      </c>
      <c r="AA34" s="31">
        <f t="shared" si="11"/>
        <v>0.16273185701107407</v>
      </c>
      <c r="AB34" s="32">
        <f t="shared" si="12"/>
        <v>16.273185701107408</v>
      </c>
      <c r="AC34" s="32">
        <f t="shared" si="13"/>
        <v>16</v>
      </c>
    </row>
    <row r="35" spans="2:29" ht="21.6" thickBot="1" x14ac:dyDescent="0.35">
      <c r="B35" s="23" t="s">
        <v>21</v>
      </c>
      <c r="C35" s="90">
        <v>4877228.3286750549</v>
      </c>
      <c r="D35" s="90">
        <v>4526511.3849117281</v>
      </c>
      <c r="E35" s="84">
        <v>22085.064999999999</v>
      </c>
      <c r="F35" s="72">
        <f t="shared" si="0"/>
        <v>425.79633401969988</v>
      </c>
      <c r="G35" s="90">
        <v>352.71</v>
      </c>
      <c r="H35" s="37">
        <f>'[1]Y1a - Y2a'!N44+'[1]Y1a - Y2a'!P44</f>
        <v>-0.25865383203402115</v>
      </c>
      <c r="I35" s="37">
        <f>'[1]Y1a - Y2a'!N72+'[1]Y1a - Y2a'!P72</f>
        <v>-3.2564810657360055E-2</v>
      </c>
      <c r="J35" s="15">
        <f t="shared" si="1"/>
        <v>-0.2912186426913812</v>
      </c>
      <c r="K35" s="15">
        <f t="shared" si="2"/>
        <v>0.7087813573086188</v>
      </c>
      <c r="L35" s="18"/>
      <c r="M35" s="16" t="b">
        <f t="shared" si="14"/>
        <v>0</v>
      </c>
      <c r="N35" s="16" t="b">
        <f t="shared" si="15"/>
        <v>0</v>
      </c>
      <c r="O35" s="16">
        <f t="shared" si="16"/>
        <v>1</v>
      </c>
      <c r="P35" s="16">
        <f t="shared" si="17"/>
        <v>0</v>
      </c>
      <c r="Q35" s="20" t="str">
        <f t="shared" si="18"/>
        <v>0,1 &lt; Xa &lt;= 0,3 %</v>
      </c>
      <c r="R35" s="71">
        <f t="shared" si="3"/>
        <v>1.8E-3</v>
      </c>
      <c r="T35" s="26">
        <f t="shared" si="4"/>
        <v>0.20721367134388</v>
      </c>
      <c r="U35" s="26">
        <f t="shared" si="5"/>
        <v>0.4175627146172376</v>
      </c>
      <c r="V35" s="27">
        <f t="shared" si="6"/>
        <v>0.2103490432733576</v>
      </c>
      <c r="W35" s="28">
        <f t="shared" si="7"/>
        <v>0.2103490432733576</v>
      </c>
      <c r="X35" s="28">
        <f t="shared" si="8"/>
        <v>0</v>
      </c>
      <c r="Y35" s="28">
        <f t="shared" si="9"/>
        <v>0</v>
      </c>
      <c r="Z35" s="28">
        <f t="shared" si="10"/>
        <v>0.17796509567266425</v>
      </c>
      <c r="AA35" s="31">
        <f t="shared" si="11"/>
        <v>0.17796509567266425</v>
      </c>
      <c r="AB35" s="32">
        <f t="shared" si="12"/>
        <v>17.796509567266426</v>
      </c>
      <c r="AC35" s="32">
        <f t="shared" si="13"/>
        <v>18</v>
      </c>
    </row>
    <row r="36" spans="2:29" ht="21.6" thickBot="1" x14ac:dyDescent="0.35">
      <c r="B36" s="23" t="s">
        <v>22</v>
      </c>
      <c r="C36" s="90">
        <v>2390962.8336866321</v>
      </c>
      <c r="D36" s="90">
        <v>2193784.2409177283</v>
      </c>
      <c r="E36" s="84">
        <v>11329.835999999999</v>
      </c>
      <c r="F36" s="72">
        <f t="shared" si="0"/>
        <v>404.66138032398356</v>
      </c>
      <c r="G36" s="90">
        <v>307.18</v>
      </c>
      <c r="H36" s="37">
        <f>'[1]Y1a - Y2a'!N45+'[1]Y1a - Y2a'!P45</f>
        <v>-0.20875030346804777</v>
      </c>
      <c r="I36" s="37">
        <f>'[1]Y1a - Y2a'!N73+'[1]Y1a - Y2a'!P73</f>
        <v>-3.2564810657360055E-2</v>
      </c>
      <c r="J36" s="15">
        <f t="shared" si="1"/>
        <v>-0.24131511412540782</v>
      </c>
      <c r="K36" s="15">
        <f t="shared" si="2"/>
        <v>0.75868488587459215</v>
      </c>
      <c r="L36" s="18"/>
      <c r="M36" s="16" t="b">
        <f t="shared" si="14"/>
        <v>0</v>
      </c>
      <c r="N36" s="16" t="b">
        <f t="shared" si="15"/>
        <v>0</v>
      </c>
      <c r="O36" s="16">
        <f t="shared" si="16"/>
        <v>1</v>
      </c>
      <c r="P36" s="16">
        <f t="shared" si="17"/>
        <v>0</v>
      </c>
      <c r="Q36" s="20" t="str">
        <f t="shared" si="18"/>
        <v>0,1 &lt; Xa &lt;= 0,3 %</v>
      </c>
      <c r="R36" s="71">
        <f t="shared" si="3"/>
        <v>1.8E-3</v>
      </c>
      <c r="T36" s="26">
        <f t="shared" si="4"/>
        <v>0.31734286191804012</v>
      </c>
      <c r="U36" s="26">
        <f t="shared" si="5"/>
        <v>0.5173697717491843</v>
      </c>
      <c r="V36" s="27">
        <f t="shared" si="6"/>
        <v>0.20002690983114418</v>
      </c>
      <c r="W36" s="28">
        <f t="shared" si="7"/>
        <v>0.20002690983114418</v>
      </c>
      <c r="X36" s="28">
        <f t="shared" si="8"/>
        <v>0</v>
      </c>
      <c r="Y36" s="28">
        <f t="shared" si="9"/>
        <v>0</v>
      </c>
      <c r="Z36" s="28">
        <f t="shared" si="10"/>
        <v>0.1789973090168856</v>
      </c>
      <c r="AA36" s="31">
        <f t="shared" si="11"/>
        <v>0.1789973090168856</v>
      </c>
      <c r="AB36" s="32">
        <f t="shared" si="12"/>
        <v>17.89973090168856</v>
      </c>
      <c r="AC36" s="32">
        <f t="shared" si="13"/>
        <v>18</v>
      </c>
    </row>
    <row r="37" spans="2:29" ht="21.6" thickBot="1" x14ac:dyDescent="0.35">
      <c r="B37" s="23" t="s">
        <v>23</v>
      </c>
      <c r="C37" s="90">
        <v>72410.071306372134</v>
      </c>
      <c r="D37" s="90">
        <v>33191.144226714248</v>
      </c>
      <c r="E37" s="84">
        <v>304.053</v>
      </c>
      <c r="F37" s="72">
        <f t="shared" si="0"/>
        <v>347.31186843440582</v>
      </c>
      <c r="G37" s="90">
        <v>267.08</v>
      </c>
      <c r="H37" s="37">
        <f>'[1]Y1a - Y2a'!N46+'[1]Y1a - Y2a'!P46</f>
        <v>-9.9323181632808288E-2</v>
      </c>
      <c r="I37" s="37">
        <f>'[1]Y1a - Y2a'!N74+'[1]Y1a - Y2a'!P74</f>
        <v>-3.2564810657360055E-2</v>
      </c>
      <c r="J37" s="15">
        <f t="shared" si="1"/>
        <v>-0.13188799229016834</v>
      </c>
      <c r="K37" s="15">
        <f t="shared" si="2"/>
        <v>0.86811200770983166</v>
      </c>
      <c r="L37" s="18"/>
      <c r="M37" s="16" t="b">
        <f t="shared" si="14"/>
        <v>0</v>
      </c>
      <c r="N37" s="16" t="b">
        <f>IF(K37&lt;=$L$25,IF(F37&lt;=G37,1,0))</f>
        <v>0</v>
      </c>
      <c r="O37" s="16">
        <f t="shared" si="16"/>
        <v>1</v>
      </c>
      <c r="P37" s="16">
        <f t="shared" si="17"/>
        <v>0</v>
      </c>
      <c r="Q37" s="20" t="str">
        <f t="shared" si="18"/>
        <v>0,1 &lt; Xa &lt;= 0,3 %</v>
      </c>
      <c r="R37" s="71">
        <f t="shared" si="3"/>
        <v>1.6000000000000001E-3</v>
      </c>
      <c r="T37" s="26">
        <f t="shared" si="4"/>
        <v>0.30040388061407008</v>
      </c>
      <c r="U37" s="26">
        <f t="shared" si="5"/>
        <v>0.73622401541966331</v>
      </c>
      <c r="V37" s="27">
        <f t="shared" si="6"/>
        <v>0.43582013480559323</v>
      </c>
      <c r="W37" s="28">
        <f t="shared" si="7"/>
        <v>0.43582013480559323</v>
      </c>
      <c r="X37" s="28">
        <f t="shared" si="8"/>
        <v>0</v>
      </c>
      <c r="Y37" s="28">
        <f t="shared" si="9"/>
        <v>0</v>
      </c>
      <c r="Z37" s="28">
        <f t="shared" si="10"/>
        <v>0.15541798651944069</v>
      </c>
      <c r="AA37" s="31">
        <f t="shared" si="11"/>
        <v>0.15541798651944069</v>
      </c>
      <c r="AB37" s="32">
        <f t="shared" si="12"/>
        <v>15.541798651944069</v>
      </c>
      <c r="AC37" s="32">
        <f t="shared" si="13"/>
        <v>16</v>
      </c>
    </row>
    <row r="38" spans="2:29" ht="21.6" thickBot="1" x14ac:dyDescent="0.35">
      <c r="B38" s="23" t="s">
        <v>24</v>
      </c>
      <c r="C38" s="90">
        <v>189732.5698335628</v>
      </c>
      <c r="D38" s="90">
        <v>51926.635320254703</v>
      </c>
      <c r="E38" s="84">
        <v>899.72500000000002</v>
      </c>
      <c r="F38" s="72">
        <f t="shared" si="0"/>
        <v>268.59229781746365</v>
      </c>
      <c r="G38" s="90">
        <v>299.02</v>
      </c>
      <c r="H38" s="37">
        <f>'[1]Y1a - Y2a'!N47+'[1]Y1a - Y2a'!P47</f>
        <v>-0.14690258016038632</v>
      </c>
      <c r="I38" s="37">
        <f>'[1]Y1a - Y2a'!N75+'[1]Y1a - Y2a'!P75</f>
        <v>-3.2564810657360055E-2</v>
      </c>
      <c r="J38" s="15">
        <f t="shared" si="1"/>
        <v>-0.17946739081774638</v>
      </c>
      <c r="K38" s="15">
        <f t="shared" si="2"/>
        <v>0.82053260918225357</v>
      </c>
      <c r="L38" s="18"/>
      <c r="M38" s="16" t="b">
        <f t="shared" si="14"/>
        <v>0</v>
      </c>
      <c r="N38" s="16" t="b">
        <f t="shared" si="15"/>
        <v>0</v>
      </c>
      <c r="O38" s="16">
        <f t="shared" si="16"/>
        <v>0</v>
      </c>
      <c r="P38" s="16">
        <f t="shared" si="17"/>
        <v>1</v>
      </c>
      <c r="Q38" s="20" t="str">
        <f t="shared" si="18"/>
        <v>Xa = 0,1 %</v>
      </c>
      <c r="R38" s="73">
        <v>1E-3</v>
      </c>
      <c r="T38" s="74"/>
      <c r="U38" s="74"/>
      <c r="V38" s="75"/>
      <c r="W38" s="17"/>
      <c r="X38" s="17"/>
      <c r="Y38" s="17"/>
      <c r="Z38" s="17"/>
      <c r="AA38" s="76"/>
      <c r="AB38" s="77"/>
      <c r="AC38" s="77"/>
    </row>
    <row r="39" spans="2:29" ht="21.6" thickBot="1" x14ac:dyDescent="0.35">
      <c r="B39" s="23" t="s">
        <v>25</v>
      </c>
      <c r="C39" s="90">
        <v>529682.73873206077</v>
      </c>
      <c r="D39" s="90">
        <v>228187.0998203489</v>
      </c>
      <c r="E39" s="84">
        <v>1609.2249999999999</v>
      </c>
      <c r="F39" s="72">
        <f t="shared" si="0"/>
        <v>470.95330892349403</v>
      </c>
      <c r="G39" s="90">
        <v>279.04000000000002</v>
      </c>
      <c r="H39" s="37">
        <f>'[1]Y1a - Y2a'!N48+'[1]Y1a - Y2a'!P48</f>
        <v>0</v>
      </c>
      <c r="I39" s="37">
        <f>'[1]Y1a - Y2a'!N76+'[1]Y1a - Y2a'!P76</f>
        <v>-3.2564810657360055E-2</v>
      </c>
      <c r="J39" s="15">
        <f t="shared" si="1"/>
        <v>-3.2564810657360055E-2</v>
      </c>
      <c r="K39" s="15">
        <f t="shared" si="2"/>
        <v>0.96743518934263995</v>
      </c>
      <c r="L39" s="18"/>
      <c r="M39" s="16" t="b">
        <f t="shared" si="14"/>
        <v>0</v>
      </c>
      <c r="N39" s="16" t="b">
        <f t="shared" si="15"/>
        <v>0</v>
      </c>
      <c r="O39" s="16">
        <f t="shared" si="16"/>
        <v>1</v>
      </c>
      <c r="P39" s="16">
        <f t="shared" si="17"/>
        <v>0</v>
      </c>
      <c r="Q39" s="20" t="str">
        <f t="shared" si="18"/>
        <v>0,1 &lt; Xa &lt;= 0,3 %</v>
      </c>
      <c r="R39" s="71">
        <f t="shared" ref="R39:R45" si="19">AC39/10000</f>
        <v>1.6999999999999999E-3</v>
      </c>
      <c r="T39" s="26">
        <f t="shared" si="4"/>
        <v>0.6877627183324756</v>
      </c>
      <c r="U39" s="26">
        <f t="shared" si="5"/>
        <v>0.93487037868527989</v>
      </c>
      <c r="V39" s="27">
        <f t="shared" si="6"/>
        <v>0.24710766035280429</v>
      </c>
      <c r="W39" s="28">
        <f t="shared" si="7"/>
        <v>0.24710766035280429</v>
      </c>
      <c r="X39" s="28">
        <f t="shared" si="8"/>
        <v>0</v>
      </c>
      <c r="Y39" s="28">
        <f t="shared" si="9"/>
        <v>0</v>
      </c>
      <c r="Z39" s="28">
        <f t="shared" si="10"/>
        <v>0.17428923396471957</v>
      </c>
      <c r="AA39" s="30">
        <f t="shared" si="11"/>
        <v>0.17428923396471957</v>
      </c>
      <c r="AB39" s="32">
        <f t="shared" si="12"/>
        <v>17.428923396471959</v>
      </c>
      <c r="AC39" s="32">
        <f t="shared" si="13"/>
        <v>17</v>
      </c>
    </row>
    <row r="40" spans="2:29" ht="21.6" thickBot="1" x14ac:dyDescent="0.35">
      <c r="B40" s="23" t="s">
        <v>26</v>
      </c>
      <c r="C40" s="90">
        <v>1822576.6365520712</v>
      </c>
      <c r="D40" s="90">
        <v>1111872.0181801098</v>
      </c>
      <c r="E40" s="84">
        <v>7076.28</v>
      </c>
      <c r="F40" s="72">
        <f t="shared" si="0"/>
        <v>414.68803590759279</v>
      </c>
      <c r="G40" s="90">
        <v>292.05</v>
      </c>
      <c r="H40" s="37">
        <f>'[1]Y1a - Y2a'!N49+'[1]Y1a - Y2a'!P49</f>
        <v>-0.11642516852607161</v>
      </c>
      <c r="I40" s="37">
        <f>'[1]Y1a - Y2a'!N77+'[1]Y1a - Y2a'!P77</f>
        <v>-3.2564810657360055E-2</v>
      </c>
      <c r="J40" s="15">
        <f t="shared" si="1"/>
        <v>-0.14898997918343165</v>
      </c>
      <c r="K40" s="15">
        <f t="shared" si="2"/>
        <v>0.85101002081656829</v>
      </c>
      <c r="L40" s="18"/>
      <c r="M40" s="16" t="b">
        <f t="shared" si="14"/>
        <v>0</v>
      </c>
      <c r="N40" s="16" t="b">
        <f t="shared" si="15"/>
        <v>0</v>
      </c>
      <c r="O40" s="16">
        <f t="shared" si="16"/>
        <v>1</v>
      </c>
      <c r="P40" s="16">
        <f t="shared" si="17"/>
        <v>0</v>
      </c>
      <c r="Q40" s="20" t="str">
        <f t="shared" si="18"/>
        <v>0,1 &lt; Xa &lt;= 0,3 %</v>
      </c>
      <c r="R40" s="71">
        <f t="shared" si="19"/>
        <v>1.6999999999999999E-3</v>
      </c>
      <c r="T40" s="26">
        <f t="shared" si="4"/>
        <v>0.41992136931207935</v>
      </c>
      <c r="U40" s="26">
        <f t="shared" si="5"/>
        <v>0.70202004163313658</v>
      </c>
      <c r="V40" s="27">
        <f t="shared" si="6"/>
        <v>0.28209867232105723</v>
      </c>
      <c r="W40" s="28">
        <f t="shared" si="7"/>
        <v>0.28209867232105723</v>
      </c>
      <c r="X40" s="28">
        <f t="shared" si="8"/>
        <v>0</v>
      </c>
      <c r="Y40" s="28">
        <f t="shared" si="9"/>
        <v>0</v>
      </c>
      <c r="Z40" s="28">
        <f t="shared" si="10"/>
        <v>0.17079013276789429</v>
      </c>
      <c r="AA40" s="30">
        <f t="shared" si="11"/>
        <v>0.17079013276789429</v>
      </c>
      <c r="AB40" s="32">
        <f t="shared" si="12"/>
        <v>17.079013276789428</v>
      </c>
      <c r="AC40" s="32">
        <f t="shared" si="13"/>
        <v>17</v>
      </c>
    </row>
    <row r="41" spans="2:29" ht="21.6" thickBot="1" x14ac:dyDescent="0.35">
      <c r="B41" s="23" t="s">
        <v>27</v>
      </c>
      <c r="C41" s="90">
        <v>2152889.5100050461</v>
      </c>
      <c r="D41" s="90">
        <v>1675233.0358982889</v>
      </c>
      <c r="E41" s="84">
        <v>9478.6489999999994</v>
      </c>
      <c r="F41" s="72">
        <f t="shared" si="0"/>
        <v>403.86795058065087</v>
      </c>
      <c r="G41" s="90">
        <v>296.54000000000002</v>
      </c>
      <c r="H41" s="37">
        <f>'[1]Y1a - Y2a'!N50+'[1]Y1a - Y2a'!P50</f>
        <v>-0.10959934528939959</v>
      </c>
      <c r="I41" s="37">
        <f>'[1]Y1a - Y2a'!N78+'[1]Y1a - Y2a'!P78</f>
        <v>-3.2564810657360055E-2</v>
      </c>
      <c r="J41" s="15">
        <f t="shared" si="1"/>
        <v>-0.14216415594675963</v>
      </c>
      <c r="K41" s="15">
        <f t="shared" si="2"/>
        <v>0.85783584405324032</v>
      </c>
      <c r="L41" s="18"/>
      <c r="M41" s="16" t="b">
        <f t="shared" si="14"/>
        <v>0</v>
      </c>
      <c r="N41" s="16" t="b">
        <f t="shared" si="15"/>
        <v>0</v>
      </c>
      <c r="O41" s="16">
        <f t="shared" si="16"/>
        <v>1</v>
      </c>
      <c r="P41" s="16">
        <f t="shared" si="17"/>
        <v>0</v>
      </c>
      <c r="Q41" s="20" t="str">
        <f t="shared" si="18"/>
        <v>0,1 &lt; Xa &lt;= 0,3 %</v>
      </c>
      <c r="R41" s="71">
        <f t="shared" si="19"/>
        <v>1.6000000000000001E-3</v>
      </c>
      <c r="T41" s="26">
        <f t="shared" si="4"/>
        <v>0.36193414237759103</v>
      </c>
      <c r="U41" s="26">
        <f t="shared" si="5"/>
        <v>0.71567168810648063</v>
      </c>
      <c r="V41" s="27">
        <f t="shared" si="6"/>
        <v>0.3537375457288896</v>
      </c>
      <c r="W41" s="28">
        <f t="shared" si="7"/>
        <v>0.3537375457288896</v>
      </c>
      <c r="X41" s="28">
        <f t="shared" si="8"/>
        <v>0</v>
      </c>
      <c r="Y41" s="28">
        <f t="shared" si="9"/>
        <v>0</v>
      </c>
      <c r="Z41" s="28">
        <f t="shared" si="10"/>
        <v>0.16362624542711104</v>
      </c>
      <c r="AA41" s="30">
        <f t="shared" si="11"/>
        <v>0.16362624542711104</v>
      </c>
      <c r="AB41" s="32">
        <f t="shared" si="12"/>
        <v>16.362624542711103</v>
      </c>
      <c r="AC41" s="32">
        <f t="shared" si="13"/>
        <v>16</v>
      </c>
    </row>
    <row r="42" spans="2:29" ht="21.6" thickBot="1" x14ac:dyDescent="0.35">
      <c r="B42" s="23" t="s">
        <v>28</v>
      </c>
      <c r="C42" s="90">
        <v>1268959.9374865957</v>
      </c>
      <c r="D42" s="90">
        <v>677706.90253021789</v>
      </c>
      <c r="E42" s="84">
        <v>5122.3580000000002</v>
      </c>
      <c r="F42" s="72">
        <f t="shared" si="0"/>
        <v>380.03334402179883</v>
      </c>
      <c r="G42" s="90">
        <v>308.48</v>
      </c>
      <c r="H42" s="37">
        <f>'[1]Y1a - Y2a'!N51+'[1]Y1a - Y2a'!P51</f>
        <v>-5.0254004127075411E-2</v>
      </c>
      <c r="I42" s="37">
        <f>'[1]Y1a - Y2a'!N79+'[1]Y1a - Y2a'!P79</f>
        <v>-3.2564810657360055E-2</v>
      </c>
      <c r="J42" s="15">
        <f t="shared" si="1"/>
        <v>-8.2818814784435466E-2</v>
      </c>
      <c r="K42" s="15">
        <f t="shared" si="2"/>
        <v>0.91718118521556458</v>
      </c>
      <c r="L42" s="18"/>
      <c r="M42" s="16" t="b">
        <f t="shared" si="14"/>
        <v>0</v>
      </c>
      <c r="N42" s="16" t="b">
        <f t="shared" si="15"/>
        <v>0</v>
      </c>
      <c r="O42" s="16">
        <f t="shared" si="16"/>
        <v>1</v>
      </c>
      <c r="P42" s="16">
        <f t="shared" si="17"/>
        <v>0</v>
      </c>
      <c r="Q42" s="20" t="str">
        <f t="shared" si="18"/>
        <v>0,1 &lt; Xa &lt;= 0,3 %</v>
      </c>
      <c r="R42" s="71">
        <f t="shared" si="19"/>
        <v>1.4E-3</v>
      </c>
      <c r="T42" s="26">
        <f t="shared" si="4"/>
        <v>0.23195456438601791</v>
      </c>
      <c r="U42" s="26">
        <f t="shared" si="5"/>
        <v>0.83436237043112915</v>
      </c>
      <c r="V42" s="27">
        <f t="shared" si="6"/>
        <v>0.60240780604511124</v>
      </c>
      <c r="W42" s="28">
        <f t="shared" si="7"/>
        <v>0.60240780604511124</v>
      </c>
      <c r="X42" s="28">
        <f t="shared" si="8"/>
        <v>0</v>
      </c>
      <c r="Y42" s="28">
        <f t="shared" si="9"/>
        <v>0</v>
      </c>
      <c r="Z42" s="28">
        <f t="shared" si="10"/>
        <v>0.13875921939548888</v>
      </c>
      <c r="AA42" s="30">
        <f t="shared" si="11"/>
        <v>0.13875921939548888</v>
      </c>
      <c r="AB42" s="32">
        <f t="shared" si="12"/>
        <v>13.875921939548888</v>
      </c>
      <c r="AC42" s="32">
        <f t="shared" si="13"/>
        <v>14</v>
      </c>
    </row>
    <row r="43" spans="2:29" ht="21.6" thickBot="1" x14ac:dyDescent="0.35">
      <c r="B43" s="23" t="s">
        <v>29</v>
      </c>
      <c r="C43" s="90">
        <v>429081.37498808221</v>
      </c>
      <c r="D43" s="90">
        <v>438483.7660683117</v>
      </c>
      <c r="E43" s="84">
        <v>2063.6750000000002</v>
      </c>
      <c r="F43" s="72">
        <f t="shared" si="0"/>
        <v>420.39814459951003</v>
      </c>
      <c r="G43" s="90">
        <v>282.22000000000003</v>
      </c>
      <c r="H43" s="37">
        <f>'[1]Y1a - Y2a'!N52+'[1]Y1a - Y2a'!P52</f>
        <v>0</v>
      </c>
      <c r="I43" s="37">
        <f>'[1]Y1a - Y2a'!N80+'[1]Y1a - Y2a'!P80</f>
        <v>-3.2564810657360055E-2</v>
      </c>
      <c r="J43" s="15">
        <f t="shared" si="1"/>
        <v>-3.2564810657360055E-2</v>
      </c>
      <c r="K43" s="15">
        <f t="shared" si="2"/>
        <v>0.96743518934263995</v>
      </c>
      <c r="L43" s="18"/>
      <c r="M43" s="16" t="b">
        <f t="shared" si="14"/>
        <v>0</v>
      </c>
      <c r="N43" s="16" t="b">
        <f t="shared" si="15"/>
        <v>0</v>
      </c>
      <c r="O43" s="16">
        <f t="shared" si="16"/>
        <v>1</v>
      </c>
      <c r="P43" s="16">
        <f t="shared" si="17"/>
        <v>0</v>
      </c>
      <c r="Q43" s="20" t="str">
        <f t="shared" si="18"/>
        <v>0,1 &lt; Xa &lt;= 0,3 %</v>
      </c>
      <c r="R43" s="71">
        <f t="shared" si="19"/>
        <v>1.5E-3</v>
      </c>
      <c r="T43" s="26">
        <f t="shared" si="4"/>
        <v>0.48961145418294238</v>
      </c>
      <c r="U43" s="26">
        <f t="shared" si="5"/>
        <v>0.93487037868527989</v>
      </c>
      <c r="V43" s="27">
        <f t="shared" si="6"/>
        <v>0.44525892450233751</v>
      </c>
      <c r="W43" s="28">
        <f t="shared" si="7"/>
        <v>0.44525892450233751</v>
      </c>
      <c r="X43" s="28">
        <f t="shared" si="8"/>
        <v>0</v>
      </c>
      <c r="Y43" s="28">
        <f t="shared" si="9"/>
        <v>0</v>
      </c>
      <c r="Z43" s="28">
        <f t="shared" si="10"/>
        <v>0.15447410754976626</v>
      </c>
      <c r="AA43" s="30">
        <f t="shared" si="11"/>
        <v>0.15447410754976626</v>
      </c>
      <c r="AB43" s="32">
        <f t="shared" si="12"/>
        <v>15.447410754976627</v>
      </c>
      <c r="AC43" s="32">
        <f t="shared" si="13"/>
        <v>15</v>
      </c>
    </row>
    <row r="44" spans="2:29" ht="21.6" thickBot="1" x14ac:dyDescent="0.35">
      <c r="B44" s="23" t="s">
        <v>30</v>
      </c>
      <c r="C44" s="90">
        <v>1571806.5321593441</v>
      </c>
      <c r="D44" s="90">
        <v>593101.02576460445</v>
      </c>
      <c r="E44" s="84">
        <v>6245.1719999999996</v>
      </c>
      <c r="F44" s="72">
        <f t="shared" si="0"/>
        <v>346.65299177091498</v>
      </c>
      <c r="G44" s="90">
        <v>259.45</v>
      </c>
      <c r="H44" s="37">
        <f>'[1]Y1a - Y2a'!N53+'[1]Y1a - Y2a'!P53</f>
        <v>-5.9584271841046817E-2</v>
      </c>
      <c r="I44" s="37">
        <f>'[1]Y1a - Y2a'!N81+'[1]Y1a - Y2a'!P81</f>
        <v>-3.2564810657360055E-2</v>
      </c>
      <c r="J44" s="15">
        <f t="shared" si="1"/>
        <v>-9.2149082498406865E-2</v>
      </c>
      <c r="K44" s="15">
        <f t="shared" si="2"/>
        <v>0.90785091750159319</v>
      </c>
      <c r="L44" s="18"/>
      <c r="M44" s="16" t="b">
        <f t="shared" si="14"/>
        <v>0</v>
      </c>
      <c r="N44" s="16" t="b">
        <f t="shared" si="15"/>
        <v>0</v>
      </c>
      <c r="O44" s="16">
        <f t="shared" si="16"/>
        <v>1</v>
      </c>
      <c r="P44" s="16">
        <f t="shared" si="17"/>
        <v>0</v>
      </c>
      <c r="Q44" s="20" t="str">
        <f t="shared" si="18"/>
        <v>0,1 &lt; Xa &lt;= 0,3 %</v>
      </c>
      <c r="R44" s="71">
        <f t="shared" si="19"/>
        <v>1.5E-3</v>
      </c>
      <c r="T44" s="26">
        <f t="shared" si="4"/>
        <v>0.33610711802241278</v>
      </c>
      <c r="U44" s="26">
        <f t="shared" si="5"/>
        <v>0.81570183500318638</v>
      </c>
      <c r="V44" s="27">
        <f t="shared" si="6"/>
        <v>0.47959471698077361</v>
      </c>
      <c r="W44" s="28">
        <f t="shared" si="7"/>
        <v>0.47959471698077361</v>
      </c>
      <c r="X44" s="28">
        <f t="shared" si="8"/>
        <v>0</v>
      </c>
      <c r="Y44" s="28">
        <f t="shared" si="9"/>
        <v>0</v>
      </c>
      <c r="Z44" s="28">
        <f t="shared" si="10"/>
        <v>0.15104052830192266</v>
      </c>
      <c r="AA44" s="30">
        <f t="shared" si="11"/>
        <v>0.15104052830192266</v>
      </c>
      <c r="AB44" s="32">
        <f t="shared" si="12"/>
        <v>15.104052830192266</v>
      </c>
      <c r="AC44" s="32">
        <f t="shared" si="13"/>
        <v>15</v>
      </c>
    </row>
    <row r="45" spans="2:29" ht="21.6" thickBot="1" x14ac:dyDescent="0.35">
      <c r="B45" s="23" t="s">
        <v>31</v>
      </c>
      <c r="C45" s="90">
        <v>102865.67937201672</v>
      </c>
      <c r="D45" s="90">
        <v>61927.21591560341</v>
      </c>
      <c r="E45" s="84">
        <v>427.62099999999998</v>
      </c>
      <c r="F45" s="72">
        <f t="shared" si="0"/>
        <v>385.37138093690476</v>
      </c>
      <c r="G45" s="90">
        <v>322.95</v>
      </c>
      <c r="H45" s="37">
        <f>'[1]Y1a - Y2a'!N54+'[1]Y1a - Y2a'!P54</f>
        <v>-0.12386399326765425</v>
      </c>
      <c r="I45" s="37">
        <f>'[1]Y1a - Y2a'!N82+'[1]Y1a - Y2a'!P82</f>
        <v>-3.2564810657360055E-2</v>
      </c>
      <c r="J45" s="15">
        <f t="shared" si="1"/>
        <v>-0.15642880392501429</v>
      </c>
      <c r="K45" s="15">
        <f t="shared" si="2"/>
        <v>0.84357119607498565</v>
      </c>
      <c r="L45" s="18"/>
      <c r="M45" s="16" t="b">
        <f t="shared" si="14"/>
        <v>0</v>
      </c>
      <c r="N45" s="16" t="b">
        <f t="shared" si="15"/>
        <v>0</v>
      </c>
      <c r="O45" s="16">
        <f t="shared" si="16"/>
        <v>1</v>
      </c>
      <c r="P45" s="16">
        <f t="shared" si="17"/>
        <v>0</v>
      </c>
      <c r="Q45" s="20" t="str">
        <f t="shared" si="18"/>
        <v>0,1 &lt; Xa &lt;= 0,3 %</v>
      </c>
      <c r="R45" s="71">
        <f t="shared" si="19"/>
        <v>1.5E-3</v>
      </c>
      <c r="T45" s="26">
        <f t="shared" si="4"/>
        <v>0.19328496961419653</v>
      </c>
      <c r="U45" s="26">
        <f t="shared" si="5"/>
        <v>0.6871423921499713</v>
      </c>
      <c r="V45" s="27">
        <f t="shared" si="6"/>
        <v>0.4938574225357748</v>
      </c>
      <c r="W45" s="28">
        <f t="shared" si="7"/>
        <v>0.4938574225357748</v>
      </c>
      <c r="X45" s="28">
        <f t="shared" si="8"/>
        <v>0</v>
      </c>
      <c r="Y45" s="28">
        <f t="shared" si="9"/>
        <v>0</v>
      </c>
      <c r="Z45" s="28">
        <f t="shared" si="10"/>
        <v>0.14961425774642254</v>
      </c>
      <c r="AA45" s="30">
        <f t="shared" si="11"/>
        <v>0.14961425774642254</v>
      </c>
      <c r="AB45" s="32">
        <f t="shared" si="12"/>
        <v>14.961425774642253</v>
      </c>
      <c r="AC45" s="32">
        <f t="shared" si="13"/>
        <v>15</v>
      </c>
    </row>
  </sheetData>
  <mergeCells count="4">
    <mergeCell ref="C24:F24"/>
    <mergeCell ref="G24:G25"/>
    <mergeCell ref="J24:K24"/>
    <mergeCell ref="M24:R25"/>
  </mergeCells>
  <pageMargins left="0.11811023622047245" right="0.70866141732283472" top="0.74803149606299213" bottom="0.74803149606299213" header="0.31496062992125984" footer="0.31496062992125984"/>
  <pageSetup paperSize="8" scale="60" orientation="landscape" r:id="rId1"/>
  <colBreaks count="1" manualBreakCount="1">
    <brk id="18" max="104857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33529-37C6-4E0A-997C-665759BE574A}">
  <dimension ref="B3:M24"/>
  <sheetViews>
    <sheetView workbookViewId="0">
      <selection activeCell="M13" sqref="M13"/>
    </sheetView>
  </sheetViews>
  <sheetFormatPr defaultColWidth="9.109375" defaultRowHeight="14.4" x14ac:dyDescent="0.3"/>
  <cols>
    <col min="1" max="1" width="1.6640625" style="1" customWidth="1"/>
    <col min="2" max="4" width="30.109375" style="1" customWidth="1"/>
    <col min="5" max="5" width="13.6640625" style="1" customWidth="1"/>
    <col min="6" max="6" width="15.44140625" style="1" customWidth="1"/>
    <col min="7" max="7" width="16.33203125" style="1" customWidth="1"/>
    <col min="8" max="8" width="11.88671875" style="1" customWidth="1"/>
    <col min="9" max="11" width="15.5546875" style="1" customWidth="1"/>
    <col min="12" max="12" width="13.109375" style="1" customWidth="1"/>
    <col min="13" max="14" width="15.5546875" style="1" customWidth="1"/>
    <col min="15" max="16384" width="9.109375" style="1"/>
  </cols>
  <sheetData>
    <row r="3" spans="2:13" ht="43.2" x14ac:dyDescent="0.3">
      <c r="C3" s="5" t="s">
        <v>33</v>
      </c>
      <c r="D3" s="5" t="s">
        <v>5</v>
      </c>
      <c r="E3" s="133" t="s">
        <v>52</v>
      </c>
      <c r="F3" s="133" t="s">
        <v>40</v>
      </c>
      <c r="G3" s="133" t="s">
        <v>40</v>
      </c>
      <c r="H3" s="133" t="s">
        <v>102</v>
      </c>
      <c r="I3" s="133" t="s">
        <v>98</v>
      </c>
      <c r="J3" s="133" t="s">
        <v>99</v>
      </c>
      <c r="K3" s="133" t="s">
        <v>101</v>
      </c>
      <c r="L3" s="133" t="s">
        <v>103</v>
      </c>
    </row>
    <row r="4" spans="2:13" x14ac:dyDescent="0.3">
      <c r="C4" s="5" t="s">
        <v>0</v>
      </c>
      <c r="D4" s="5" t="s">
        <v>1</v>
      </c>
      <c r="E4" s="134"/>
      <c r="F4" s="134"/>
      <c r="G4" s="134"/>
      <c r="H4" s="134"/>
      <c r="I4" s="134"/>
      <c r="J4" s="134"/>
      <c r="K4" s="134"/>
      <c r="L4" s="134"/>
      <c r="M4" s="1" t="s">
        <v>112</v>
      </c>
    </row>
    <row r="5" spans="2:13" ht="52.8" customHeight="1" x14ac:dyDescent="0.3">
      <c r="E5" s="19"/>
      <c r="F5" s="19"/>
      <c r="G5" s="19" t="s">
        <v>45</v>
      </c>
      <c r="H5" s="12" t="s">
        <v>106</v>
      </c>
      <c r="I5" s="19" t="s">
        <v>107</v>
      </c>
      <c r="J5" s="19" t="s">
        <v>105</v>
      </c>
      <c r="K5" s="19" t="s">
        <v>100</v>
      </c>
      <c r="L5" s="102" t="s">
        <v>108</v>
      </c>
    </row>
    <row r="6" spans="2:13" x14ac:dyDescent="0.3">
      <c r="B6" s="23" t="s">
        <v>13</v>
      </c>
      <c r="C6" s="38">
        <f>'[1]Sharing ba'!C17</f>
        <v>-0.21897592841628893</v>
      </c>
      <c r="D6" s="38">
        <f>'[1]Sharing ba'!D17</f>
        <v>-3.2564810657360055E-2</v>
      </c>
      <c r="E6" s="103">
        <f>'[1]Sharing ba'!U17</f>
        <v>0.4</v>
      </c>
      <c r="F6" s="103" t="str">
        <f>[1]Xa!Q43</f>
        <v>0,1 &lt; Xa &lt;= 0,3 %</v>
      </c>
      <c r="G6" s="104">
        <f>Xa!R27</f>
        <v>1.8E-3</v>
      </c>
      <c r="H6" s="104">
        <f>G6</f>
        <v>1.8E-3</v>
      </c>
      <c r="I6" s="104">
        <v>0</v>
      </c>
      <c r="J6" s="104">
        <v>0</v>
      </c>
      <c r="K6" s="104">
        <v>0</v>
      </c>
      <c r="L6" s="104">
        <f>H6+I6+J6+K6</f>
        <v>1.8E-3</v>
      </c>
    </row>
    <row r="7" spans="2:13" x14ac:dyDescent="0.3">
      <c r="B7" s="23" t="s">
        <v>14</v>
      </c>
      <c r="C7" s="38">
        <f>'[1]Sharing ba'!C18</f>
        <v>-1.1691029944589891E-3</v>
      </c>
      <c r="D7" s="38">
        <f>'[1]Sharing ba'!D18</f>
        <v>-3.2564810657360055E-2</v>
      </c>
      <c r="E7" s="103">
        <f>'[1]Sharing ba'!U18</f>
        <v>0.2</v>
      </c>
      <c r="F7" s="103" t="str">
        <f>[1]Xa!Q44</f>
        <v>0,1 &lt; Xa &lt;= 0,3 %</v>
      </c>
      <c r="G7" s="104">
        <f>Xa!R28</f>
        <v>1.4E-3</v>
      </c>
      <c r="H7" s="104">
        <f t="shared" ref="H7:H24" si="0">G7</f>
        <v>1.4E-3</v>
      </c>
      <c r="I7" s="104">
        <v>0</v>
      </c>
      <c r="J7" s="104">
        <v>0</v>
      </c>
      <c r="K7" s="104">
        <v>0</v>
      </c>
      <c r="L7" s="104">
        <f t="shared" ref="L7:L24" si="1">H7+I7+J7+K7</f>
        <v>1.4E-3</v>
      </c>
    </row>
    <row r="8" spans="2:13" x14ac:dyDescent="0.3">
      <c r="B8" s="23" t="s">
        <v>15</v>
      </c>
      <c r="C8" s="38">
        <f>'[1]Sharing ba'!C19</f>
        <v>-2.9929537166936998E-2</v>
      </c>
      <c r="D8" s="38">
        <f>'[1]Sharing ba'!D19</f>
        <v>-3.2564810657360055E-2</v>
      </c>
      <c r="E8" s="103">
        <f>'[1]Sharing ba'!U19</f>
        <v>0.2</v>
      </c>
      <c r="F8" s="103" t="str">
        <f>[1]Xa!Q45</f>
        <v>0,1 &lt; Xa &lt;= 0,3 %</v>
      </c>
      <c r="G8" s="104">
        <f>Xa!R29</f>
        <v>1.4E-3</v>
      </c>
      <c r="H8" s="104">
        <f t="shared" si="0"/>
        <v>1.4E-3</v>
      </c>
      <c r="I8" s="104">
        <v>0</v>
      </c>
      <c r="J8" s="104">
        <v>0</v>
      </c>
      <c r="K8" s="104">
        <v>0</v>
      </c>
      <c r="L8" s="104">
        <f t="shared" si="1"/>
        <v>1.4E-3</v>
      </c>
    </row>
    <row r="9" spans="2:13" x14ac:dyDescent="0.3">
      <c r="B9" s="23" t="s">
        <v>16</v>
      </c>
      <c r="C9" s="38">
        <f>'[1]Sharing ba'!C20</f>
        <v>-5.4090540941752994E-2</v>
      </c>
      <c r="D9" s="38">
        <f>'[1]Sharing ba'!D20</f>
        <v>-3.2564810657360055E-2</v>
      </c>
      <c r="E9" s="103">
        <f>'[1]Sharing ba'!U20</f>
        <v>0.2</v>
      </c>
      <c r="F9" s="103" t="str">
        <f>[1]Xa!Q46</f>
        <v>0,1 &lt; Xa &lt;= 0,3 %</v>
      </c>
      <c r="G9" s="104">
        <f>Xa!R30</f>
        <v>1.2999999999999999E-3</v>
      </c>
      <c r="H9" s="104">
        <f t="shared" si="0"/>
        <v>1.2999999999999999E-3</v>
      </c>
      <c r="I9" s="104">
        <v>0</v>
      </c>
      <c r="J9" s="104">
        <v>0</v>
      </c>
      <c r="K9" s="104">
        <v>0</v>
      </c>
      <c r="L9" s="104">
        <f t="shared" si="1"/>
        <v>1.2999999999999999E-3</v>
      </c>
    </row>
    <row r="10" spans="2:13" x14ac:dyDescent="0.3">
      <c r="B10" s="23" t="s">
        <v>17</v>
      </c>
      <c r="C10" s="38">
        <f>'[1]Sharing ba'!C21</f>
        <v>-9.0011571032777044E-2</v>
      </c>
      <c r="D10" s="38">
        <f>'[1]Sharing ba'!D21</f>
        <v>-3.2564810657360055E-2</v>
      </c>
      <c r="E10" s="103">
        <f>'[1]Sharing ba'!U21</f>
        <v>0.2</v>
      </c>
      <c r="F10" s="103" t="str">
        <f>[1]Xa!Q47</f>
        <v>0,1 &lt; Xa &lt;= 0,3 %</v>
      </c>
      <c r="G10" s="104">
        <f>Xa!R31</f>
        <v>1.6000000000000001E-3</v>
      </c>
      <c r="H10" s="104">
        <f t="shared" si="0"/>
        <v>1.6000000000000001E-3</v>
      </c>
      <c r="I10" s="104">
        <v>0</v>
      </c>
      <c r="J10" s="104">
        <v>0</v>
      </c>
      <c r="K10" s="104">
        <v>0</v>
      </c>
      <c r="L10" s="104">
        <f t="shared" si="1"/>
        <v>1.6000000000000001E-3</v>
      </c>
    </row>
    <row r="11" spans="2:13" x14ac:dyDescent="0.3">
      <c r="B11" s="23" t="s">
        <v>18</v>
      </c>
      <c r="C11" s="38">
        <f>'[1]Sharing ba'!C22</f>
        <v>-0.11896161133513466</v>
      </c>
      <c r="D11" s="38">
        <f>'[1]Sharing ba'!D22</f>
        <v>-3.2564810657360055E-2</v>
      </c>
      <c r="E11" s="103">
        <f>'[1]Sharing ba'!U22</f>
        <v>0.2</v>
      </c>
      <c r="F11" s="103" t="str">
        <f>[1]Xa!Q48</f>
        <v>0,1 &lt; Xa &lt;= 0,3 %</v>
      </c>
      <c r="G11" s="104">
        <f>Xa!R32</f>
        <v>1.6999999999999999E-3</v>
      </c>
      <c r="H11" s="104">
        <f t="shared" si="0"/>
        <v>1.6999999999999999E-3</v>
      </c>
      <c r="I11" s="104">
        <v>0</v>
      </c>
      <c r="J11" s="104">
        <v>0</v>
      </c>
      <c r="K11" s="104">
        <v>0</v>
      </c>
      <c r="L11" s="104">
        <f t="shared" si="1"/>
        <v>1.6999999999999999E-3</v>
      </c>
    </row>
    <row r="12" spans="2:13" x14ac:dyDescent="0.3">
      <c r="B12" s="23" t="s">
        <v>19</v>
      </c>
      <c r="C12" s="38">
        <f>'[1]Sharing ba'!C23</f>
        <v>-0.12512825618242029</v>
      </c>
      <c r="D12" s="38">
        <f>'[1]Sharing ba'!D23</f>
        <v>-3.2564810657360055E-2</v>
      </c>
      <c r="E12" s="103">
        <f>'[1]Sharing ba'!U23</f>
        <v>0.2</v>
      </c>
      <c r="F12" s="103" t="str">
        <f>[1]Xa!Q49</f>
        <v>0,1 &lt; Xa &lt;= 0,3 %</v>
      </c>
      <c r="G12" s="104">
        <f>Xa!R33</f>
        <v>1.4E-3</v>
      </c>
      <c r="H12" s="104">
        <f t="shared" si="0"/>
        <v>1.4E-3</v>
      </c>
      <c r="I12" s="104">
        <v>0</v>
      </c>
      <c r="J12" s="104">
        <v>0</v>
      </c>
      <c r="K12" s="104">
        <v>0</v>
      </c>
      <c r="L12" s="104">
        <f t="shared" si="1"/>
        <v>1.4E-3</v>
      </c>
    </row>
    <row r="13" spans="2:13" x14ac:dyDescent="0.3">
      <c r="B13" s="23" t="s">
        <v>20</v>
      </c>
      <c r="C13" s="38">
        <f>'[1]Sharing ba'!C24</f>
        <v>-0.18880752396400155</v>
      </c>
      <c r="D13" s="38">
        <f>'[1]Sharing ba'!D24</f>
        <v>-3.2564810657360055E-2</v>
      </c>
      <c r="E13" s="103">
        <f>'[1]Sharing ba'!U24</f>
        <v>0.2</v>
      </c>
      <c r="F13" s="103" t="str">
        <f>[1]Xa!Q50</f>
        <v>0,1 &lt; Xa &lt;= 0,3 %</v>
      </c>
      <c r="G13" s="104">
        <f>Xa!R34</f>
        <v>1.6000000000000001E-3</v>
      </c>
      <c r="H13" s="104">
        <f t="shared" si="0"/>
        <v>1.6000000000000001E-3</v>
      </c>
      <c r="I13" s="104">
        <v>0</v>
      </c>
      <c r="J13" s="104">
        <v>0</v>
      </c>
      <c r="K13" s="104">
        <v>0</v>
      </c>
      <c r="L13" s="104">
        <f t="shared" si="1"/>
        <v>1.6000000000000001E-3</v>
      </c>
    </row>
    <row r="14" spans="2:13" x14ac:dyDescent="0.3">
      <c r="B14" s="23" t="s">
        <v>21</v>
      </c>
      <c r="C14" s="38">
        <f>'[1]Sharing ba'!C25</f>
        <v>-0.25865383203402115</v>
      </c>
      <c r="D14" s="38">
        <f>'[1]Sharing ba'!D25</f>
        <v>-3.2564810657360055E-2</v>
      </c>
      <c r="E14" s="103">
        <f>'[1]Sharing ba'!U25</f>
        <v>0.4</v>
      </c>
      <c r="F14" s="103" t="str">
        <f>[1]Xa!Q51</f>
        <v>0,1 &lt; Xa &lt;= 0,3 %</v>
      </c>
      <c r="G14" s="104">
        <f>Xa!R35</f>
        <v>1.8E-3</v>
      </c>
      <c r="H14" s="104">
        <f t="shared" si="0"/>
        <v>1.8E-3</v>
      </c>
      <c r="I14" s="104">
        <v>0</v>
      </c>
      <c r="J14" s="104">
        <v>0</v>
      </c>
      <c r="K14" s="104">
        <v>0</v>
      </c>
      <c r="L14" s="104">
        <f t="shared" si="1"/>
        <v>1.8E-3</v>
      </c>
    </row>
    <row r="15" spans="2:13" x14ac:dyDescent="0.3">
      <c r="B15" s="23" t="s">
        <v>22</v>
      </c>
      <c r="C15" s="38">
        <f>'[1]Sharing ba'!C26</f>
        <v>-0.20875030346804777</v>
      </c>
      <c r="D15" s="38">
        <f>'[1]Sharing ba'!D26</f>
        <v>-3.2564810657360055E-2</v>
      </c>
      <c r="E15" s="103">
        <f>'[1]Sharing ba'!U26</f>
        <v>0.4</v>
      </c>
      <c r="F15" s="103" t="str">
        <f>[1]Xa!Q52</f>
        <v>0,1 &lt; Xa &lt;= 0,3 %</v>
      </c>
      <c r="G15" s="104">
        <f>Xa!R36</f>
        <v>1.8E-3</v>
      </c>
      <c r="H15" s="104">
        <f t="shared" si="0"/>
        <v>1.8E-3</v>
      </c>
      <c r="I15" s="104">
        <v>0</v>
      </c>
      <c r="J15" s="104">
        <v>0</v>
      </c>
      <c r="K15" s="104">
        <v>0</v>
      </c>
      <c r="L15" s="104">
        <f t="shared" si="1"/>
        <v>1.8E-3</v>
      </c>
    </row>
    <row r="16" spans="2:13" x14ac:dyDescent="0.3">
      <c r="B16" s="23" t="s">
        <v>23</v>
      </c>
      <c r="C16" s="38">
        <f>'[1]Sharing ba'!C27</f>
        <v>-9.9323181632808288E-2</v>
      </c>
      <c r="D16" s="38">
        <f>'[1]Sharing ba'!D27</f>
        <v>-3.2564810657360055E-2</v>
      </c>
      <c r="E16" s="103">
        <f>'[1]Sharing ba'!U27</f>
        <v>0.2</v>
      </c>
      <c r="F16" s="103" t="str">
        <f>[1]Xa!Q53</f>
        <v>0,1 &lt; Xa &lt;= 0,3 %</v>
      </c>
      <c r="G16" s="104">
        <f>Xa!R37</f>
        <v>1.6000000000000001E-3</v>
      </c>
      <c r="H16" s="104">
        <f t="shared" si="0"/>
        <v>1.6000000000000001E-3</v>
      </c>
      <c r="I16" s="104">
        <v>0</v>
      </c>
      <c r="J16" s="104">
        <v>0</v>
      </c>
      <c r="K16" s="104">
        <v>0</v>
      </c>
      <c r="L16" s="104">
        <f t="shared" si="1"/>
        <v>1.6000000000000001E-3</v>
      </c>
    </row>
    <row r="17" spans="2:12" x14ac:dyDescent="0.3">
      <c r="B17" s="23" t="s">
        <v>24</v>
      </c>
      <c r="C17" s="38">
        <f>'[1]Sharing ba'!C28</f>
        <v>-0.14690258016038632</v>
      </c>
      <c r="D17" s="38">
        <f>'[1]Sharing ba'!D28</f>
        <v>-3.2564810657360055E-2</v>
      </c>
      <c r="E17" s="103">
        <f>'[1]Sharing ba'!U28</f>
        <v>0.2</v>
      </c>
      <c r="F17" s="103" t="str">
        <f>[1]Xa!Q54</f>
        <v>Xa = 0,1 %</v>
      </c>
      <c r="G17" s="104">
        <f>Xa!R38</f>
        <v>1E-3</v>
      </c>
      <c r="H17" s="104">
        <f t="shared" si="0"/>
        <v>1E-3</v>
      </c>
      <c r="I17" s="104">
        <v>0</v>
      </c>
      <c r="J17" s="104">
        <v>0</v>
      </c>
      <c r="K17" s="104">
        <v>0</v>
      </c>
      <c r="L17" s="104">
        <f t="shared" si="1"/>
        <v>1E-3</v>
      </c>
    </row>
    <row r="18" spans="2:12" x14ac:dyDescent="0.3">
      <c r="B18" s="23" t="s">
        <v>25</v>
      </c>
      <c r="C18" s="38">
        <f>'[1]Sharing ba'!C29</f>
        <v>0</v>
      </c>
      <c r="D18" s="38">
        <f>'[1]Sharing ba'!D29</f>
        <v>-3.2564810657360055E-2</v>
      </c>
      <c r="E18" s="103">
        <f>'[1]Sharing ba'!U29</f>
        <v>0.2</v>
      </c>
      <c r="F18" s="103" t="str">
        <f>[1]Xa!Q55</f>
        <v>0,1 &lt; Xa &lt;= 0,3 %</v>
      </c>
      <c r="G18" s="104">
        <f>Xa!R39</f>
        <v>1.6999999999999999E-3</v>
      </c>
      <c r="H18" s="104">
        <f t="shared" si="0"/>
        <v>1.6999999999999999E-3</v>
      </c>
      <c r="I18" s="104">
        <v>0</v>
      </c>
      <c r="J18" s="104">
        <v>0</v>
      </c>
      <c r="K18" s="104">
        <v>0</v>
      </c>
      <c r="L18" s="104">
        <f t="shared" si="1"/>
        <v>1.6999999999999999E-3</v>
      </c>
    </row>
    <row r="19" spans="2:12" x14ac:dyDescent="0.3">
      <c r="B19" s="23" t="s">
        <v>26</v>
      </c>
      <c r="C19" s="38">
        <f>'[1]Sharing ba'!C30</f>
        <v>-0.11642516852607161</v>
      </c>
      <c r="D19" s="38">
        <f>'[1]Sharing ba'!D30</f>
        <v>-3.2564810657360055E-2</v>
      </c>
      <c r="E19" s="103">
        <f>'[1]Sharing ba'!U30</f>
        <v>0.2</v>
      </c>
      <c r="F19" s="103" t="str">
        <f>[1]Xa!Q56</f>
        <v>0,1 &lt; Xa &lt;= 0,3 %</v>
      </c>
      <c r="G19" s="104">
        <f>Xa!R40</f>
        <v>1.6999999999999999E-3</v>
      </c>
      <c r="H19" s="104">
        <f t="shared" si="0"/>
        <v>1.6999999999999999E-3</v>
      </c>
      <c r="I19" s="104">
        <v>0</v>
      </c>
      <c r="J19" s="104">
        <v>0</v>
      </c>
      <c r="K19" s="104">
        <v>0</v>
      </c>
      <c r="L19" s="104">
        <f t="shared" si="1"/>
        <v>1.6999999999999999E-3</v>
      </c>
    </row>
    <row r="20" spans="2:12" x14ac:dyDescent="0.3">
      <c r="B20" s="23" t="s">
        <v>27</v>
      </c>
      <c r="C20" s="38">
        <f>'[1]Sharing ba'!C31</f>
        <v>-0.10959934528939959</v>
      </c>
      <c r="D20" s="38">
        <f>'[1]Sharing ba'!D31</f>
        <v>-3.2564810657360055E-2</v>
      </c>
      <c r="E20" s="103">
        <f>'[1]Sharing ba'!U31</f>
        <v>0.2</v>
      </c>
      <c r="F20" s="103" t="str">
        <f>[1]Xa!Q57</f>
        <v>0,1 &lt; Xa &lt;= 0,3 %</v>
      </c>
      <c r="G20" s="104">
        <f>Xa!R41</f>
        <v>1.6000000000000001E-3</v>
      </c>
      <c r="H20" s="104">
        <f t="shared" si="0"/>
        <v>1.6000000000000001E-3</v>
      </c>
      <c r="I20" s="104">
        <v>0</v>
      </c>
      <c r="J20" s="104">
        <v>0</v>
      </c>
      <c r="K20" s="104">
        <v>0</v>
      </c>
      <c r="L20" s="104">
        <f t="shared" si="1"/>
        <v>1.6000000000000001E-3</v>
      </c>
    </row>
    <row r="21" spans="2:12" x14ac:dyDescent="0.3">
      <c r="B21" s="23" t="s">
        <v>28</v>
      </c>
      <c r="C21" s="38">
        <f>'[1]Sharing ba'!C32</f>
        <v>-5.0254004127075411E-2</v>
      </c>
      <c r="D21" s="38">
        <f>'[1]Sharing ba'!D32</f>
        <v>-3.2564810657360055E-2</v>
      </c>
      <c r="E21" s="103">
        <f>'[1]Sharing ba'!U32</f>
        <v>0.2</v>
      </c>
      <c r="F21" s="103" t="str">
        <f>[1]Xa!Q58</f>
        <v>0,1 &lt; Xa &lt;= 0,3 %</v>
      </c>
      <c r="G21" s="104">
        <f>Xa!R42</f>
        <v>1.4E-3</v>
      </c>
      <c r="H21" s="104">
        <f t="shared" si="0"/>
        <v>1.4E-3</v>
      </c>
      <c r="I21" s="104">
        <v>0</v>
      </c>
      <c r="J21" s="104">
        <v>0</v>
      </c>
      <c r="K21" s="104">
        <v>0</v>
      </c>
      <c r="L21" s="104">
        <f t="shared" si="1"/>
        <v>1.4E-3</v>
      </c>
    </row>
    <row r="22" spans="2:12" x14ac:dyDescent="0.3">
      <c r="B22" s="23" t="s">
        <v>29</v>
      </c>
      <c r="C22" s="38">
        <f>'[1]Sharing ba'!C33</f>
        <v>0</v>
      </c>
      <c r="D22" s="38">
        <f>'[1]Sharing ba'!D33</f>
        <v>-3.2564810657360055E-2</v>
      </c>
      <c r="E22" s="103">
        <f>'[1]Sharing ba'!U33</f>
        <v>0.2</v>
      </c>
      <c r="F22" s="103" t="str">
        <f>[1]Xa!Q59</f>
        <v>0,1 &lt; Xa &lt;= 0,3 %</v>
      </c>
      <c r="G22" s="104">
        <f>Xa!R43</f>
        <v>1.5E-3</v>
      </c>
      <c r="H22" s="104">
        <f t="shared" si="0"/>
        <v>1.5E-3</v>
      </c>
      <c r="I22" s="104">
        <v>0</v>
      </c>
      <c r="J22" s="104">
        <v>0</v>
      </c>
      <c r="K22" s="104">
        <v>0</v>
      </c>
      <c r="L22" s="104">
        <f t="shared" si="1"/>
        <v>1.5E-3</v>
      </c>
    </row>
    <row r="23" spans="2:12" x14ac:dyDescent="0.3">
      <c r="B23" s="23" t="s">
        <v>30</v>
      </c>
      <c r="C23" s="38">
        <f>'[1]Sharing ba'!C34</f>
        <v>-5.9584271841046817E-2</v>
      </c>
      <c r="D23" s="38">
        <f>'[1]Sharing ba'!D34</f>
        <v>-3.2564810657360055E-2</v>
      </c>
      <c r="E23" s="103">
        <f>'[1]Sharing ba'!U34</f>
        <v>0.2</v>
      </c>
      <c r="F23" s="103" t="str">
        <f>[1]Xa!Q60</f>
        <v>0,1 &lt; Xa &lt;= 0,3 %</v>
      </c>
      <c r="G23" s="104">
        <f>Xa!R44</f>
        <v>1.5E-3</v>
      </c>
      <c r="H23" s="104">
        <f t="shared" si="0"/>
        <v>1.5E-3</v>
      </c>
      <c r="I23" s="104">
        <v>0</v>
      </c>
      <c r="J23" s="104">
        <v>0</v>
      </c>
      <c r="K23" s="104">
        <v>0</v>
      </c>
      <c r="L23" s="104">
        <f t="shared" si="1"/>
        <v>1.5E-3</v>
      </c>
    </row>
    <row r="24" spans="2:12" x14ac:dyDescent="0.3">
      <c r="B24" s="23" t="s">
        <v>31</v>
      </c>
      <c r="C24" s="38">
        <f>'[1]Sharing ba'!C35</f>
        <v>-0.12386399326765425</v>
      </c>
      <c r="D24" s="38">
        <f>'[1]Sharing ba'!D35</f>
        <v>-3.2564810657360055E-2</v>
      </c>
      <c r="E24" s="103">
        <f>'[1]Sharing ba'!U35</f>
        <v>0.2</v>
      </c>
      <c r="F24" s="103" t="str">
        <f>[1]Xa!Q61</f>
        <v>0,1 &lt; Xa &lt;= 0,3 %</v>
      </c>
      <c r="G24" s="104">
        <f>Xa!R45</f>
        <v>1.5E-3</v>
      </c>
      <c r="H24" s="104">
        <f t="shared" si="0"/>
        <v>1.5E-3</v>
      </c>
      <c r="I24" s="104">
        <v>0</v>
      </c>
      <c r="J24" s="104">
        <v>0</v>
      </c>
      <c r="K24" s="104">
        <v>0</v>
      </c>
      <c r="L24" s="104">
        <f t="shared" si="1"/>
        <v>1.5E-3</v>
      </c>
    </row>
  </sheetData>
  <mergeCells count="8">
    <mergeCell ref="J3:J4"/>
    <mergeCell ref="K3:K4"/>
    <mergeCell ref="L3:L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8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N62"/>
  <sheetViews>
    <sheetView zoomScaleNormal="100" workbookViewId="0">
      <selection activeCell="K5" sqref="K5"/>
    </sheetView>
  </sheetViews>
  <sheetFormatPr defaultRowHeight="14.4" x14ac:dyDescent="0.3"/>
  <cols>
    <col min="3" max="3" width="22.33203125" customWidth="1"/>
    <col min="4" max="4" width="13.88671875" customWidth="1"/>
    <col min="6" max="6" width="14.5546875" customWidth="1"/>
    <col min="7" max="7" width="15" customWidth="1"/>
    <col min="8" max="8" width="30.88671875" customWidth="1"/>
    <col min="9" max="9" width="3.6640625" customWidth="1"/>
    <col min="10" max="10" width="14.5546875" customWidth="1"/>
    <col min="11" max="11" width="17.109375" customWidth="1"/>
    <col min="12" max="12" width="3.88671875" customWidth="1"/>
    <col min="13" max="13" width="17.109375" customWidth="1"/>
    <col min="14" max="14" width="15.88671875" customWidth="1"/>
    <col min="15" max="15" width="1.109375" customWidth="1"/>
  </cols>
  <sheetData>
    <row r="2" spans="10:14" x14ac:dyDescent="0.3">
      <c r="J2" s="19" t="s">
        <v>47</v>
      </c>
      <c r="K2" s="54" t="s">
        <v>49</v>
      </c>
      <c r="L2" s="53" t="s">
        <v>48</v>
      </c>
      <c r="M2" s="54" t="s">
        <v>50</v>
      </c>
      <c r="N2" s="52"/>
    </row>
    <row r="3" spans="10:14" x14ac:dyDescent="0.3">
      <c r="K3" s="96">
        <v>28041.85</v>
      </c>
      <c r="L3" s="53" t="s">
        <v>48</v>
      </c>
      <c r="M3" s="96">
        <v>28041.85</v>
      </c>
      <c r="N3" s="55">
        <f>K3/M3</f>
        <v>1</v>
      </c>
    </row>
    <row r="28" spans="10:14" x14ac:dyDescent="0.3">
      <c r="J28" s="19" t="s">
        <v>66</v>
      </c>
      <c r="K28" s="54" t="s">
        <v>67</v>
      </c>
      <c r="L28" s="53" t="s">
        <v>48</v>
      </c>
      <c r="M28" s="54" t="s">
        <v>68</v>
      </c>
      <c r="N28" s="52"/>
    </row>
    <row r="29" spans="10:14" x14ac:dyDescent="0.3">
      <c r="K29" s="80">
        <f>'Conteggi R1'!B8</f>
        <v>3718722.47</v>
      </c>
      <c r="L29" s="53" t="s">
        <v>48</v>
      </c>
      <c r="M29" s="80">
        <f>'Conteggi R1'!B11</f>
        <v>3843898.2900000005</v>
      </c>
      <c r="N29" s="55">
        <f>K29/M29</f>
        <v>0.96743518934263995</v>
      </c>
    </row>
    <row r="57" spans="2:8" x14ac:dyDescent="0.3">
      <c r="B57" s="135" t="s">
        <v>63</v>
      </c>
      <c r="C57" s="136"/>
      <c r="D57" s="19" t="s">
        <v>64</v>
      </c>
      <c r="E57" s="19" t="s">
        <v>46</v>
      </c>
      <c r="F57" s="19" t="s">
        <v>65</v>
      </c>
      <c r="G57" s="7"/>
      <c r="H57" s="7"/>
    </row>
    <row r="58" spans="2:8" ht="21" x14ac:dyDescent="0.3">
      <c r="B58" s="137"/>
      <c r="C58" s="138"/>
      <c r="D58" s="57">
        <f>N3</f>
        <v>1</v>
      </c>
      <c r="E58" s="19" t="s">
        <v>46</v>
      </c>
      <c r="F58" s="56">
        <f>N29</f>
        <v>0.96743518934263995</v>
      </c>
      <c r="G58" s="69">
        <f>IF(D58*F58&lt;'Y1a - Y2a'!H64,'Y1a - Y2a'!H64,D58*F58)</f>
        <v>0.96743518934263995</v>
      </c>
      <c r="H58" s="13" t="str">
        <f>IF(G58&gt;=0.85,B61,0)</f>
        <v>Valutazione soddisfacente</v>
      </c>
    </row>
    <row r="59" spans="2:8" x14ac:dyDescent="0.3">
      <c r="B59" s="8"/>
      <c r="C59" s="8"/>
      <c r="D59" s="8"/>
      <c r="E59" s="8"/>
      <c r="F59" s="8"/>
      <c r="G59" s="8"/>
      <c r="H59" s="14">
        <f>IF(G58&lt;0.85,B62,0)</f>
        <v>0</v>
      </c>
    </row>
    <row r="61" spans="2:8" x14ac:dyDescent="0.3">
      <c r="B61" s="139" t="s">
        <v>2</v>
      </c>
      <c r="C61" s="139"/>
    </row>
    <row r="62" spans="2:8" x14ac:dyDescent="0.3">
      <c r="B62" s="140" t="s">
        <v>3</v>
      </c>
      <c r="C62" s="140"/>
    </row>
  </sheetData>
  <mergeCells count="3">
    <mergeCell ref="B57:C58"/>
    <mergeCell ref="B61:C61"/>
    <mergeCell ref="B62:C62"/>
  </mergeCells>
  <pageMargins left="0.7" right="0.7" top="0.75" bottom="0.75" header="0.3" footer="0.3"/>
  <pageSetup paperSize="8" scale="65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C13"/>
  <sheetViews>
    <sheetView workbookViewId="0">
      <selection activeCell="B11" sqref="B11"/>
    </sheetView>
  </sheetViews>
  <sheetFormatPr defaultColWidth="8.88671875" defaultRowHeight="14.4" x14ac:dyDescent="0.3"/>
  <cols>
    <col min="1" max="1" width="162.5546875" customWidth="1"/>
    <col min="2" max="2" width="14.44140625" bestFit="1" customWidth="1"/>
  </cols>
  <sheetData>
    <row r="2" spans="1:3" ht="15.6" x14ac:dyDescent="0.3">
      <c r="A2" s="86" t="s">
        <v>73</v>
      </c>
    </row>
    <row r="3" spans="1:3" ht="15.6" x14ac:dyDescent="0.3">
      <c r="A3" s="87" t="s">
        <v>74</v>
      </c>
    </row>
    <row r="4" spans="1:3" ht="15.6" x14ac:dyDescent="0.3">
      <c r="A4" s="87" t="s">
        <v>75</v>
      </c>
    </row>
    <row r="5" spans="1:3" ht="15.6" x14ac:dyDescent="0.3">
      <c r="A5" s="87" t="s">
        <v>76</v>
      </c>
    </row>
    <row r="6" spans="1:3" ht="15.6" x14ac:dyDescent="0.3">
      <c r="A6" s="87" t="s">
        <v>77</v>
      </c>
    </row>
    <row r="7" spans="1:3" ht="15.6" x14ac:dyDescent="0.3">
      <c r="A7" s="87" t="s">
        <v>78</v>
      </c>
    </row>
    <row r="8" spans="1:3" ht="15.6" x14ac:dyDescent="0.3">
      <c r="A8" s="87" t="s">
        <v>79</v>
      </c>
      <c r="B8" s="88">
        <v>3718722.47</v>
      </c>
      <c r="C8" s="88"/>
    </row>
    <row r="9" spans="1:3" x14ac:dyDescent="0.3">
      <c r="B9" s="88">
        <v>104814.49</v>
      </c>
      <c r="C9" s="88"/>
    </row>
    <row r="10" spans="1:3" x14ac:dyDescent="0.3">
      <c r="B10" s="88">
        <v>20361.330000000002</v>
      </c>
      <c r="C10" s="88"/>
    </row>
    <row r="11" spans="1:3" x14ac:dyDescent="0.3">
      <c r="B11" s="88">
        <f>B8+B9+B10</f>
        <v>3843898.2900000005</v>
      </c>
      <c r="C11" s="88"/>
    </row>
    <row r="12" spans="1:3" x14ac:dyDescent="0.3">
      <c r="B12" s="88"/>
      <c r="C12" s="88"/>
    </row>
    <row r="13" spans="1:3" x14ac:dyDescent="0.3">
      <c r="B13" s="88"/>
      <c r="C13" s="88"/>
    </row>
  </sheetData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C2C5B-13C9-45AB-8C39-CDE43660C021}">
  <dimension ref="L3:Q54"/>
  <sheetViews>
    <sheetView workbookViewId="0">
      <selection activeCell="P31" sqref="P31"/>
    </sheetView>
  </sheetViews>
  <sheetFormatPr defaultRowHeight="14.4" x14ac:dyDescent="0.3"/>
  <cols>
    <col min="12" max="12" width="30.33203125" customWidth="1"/>
    <col min="13" max="13" width="13.5546875" customWidth="1"/>
    <col min="14" max="14" width="10.6640625" bestFit="1" customWidth="1"/>
    <col min="15" max="15" width="15.5546875" customWidth="1"/>
    <col min="16" max="16" width="22.33203125" bestFit="1" customWidth="1"/>
    <col min="17" max="17" width="12.33203125" bestFit="1" customWidth="1"/>
  </cols>
  <sheetData>
    <row r="3" spans="12:16" x14ac:dyDescent="0.3">
      <c r="L3" s="19" t="s">
        <v>60</v>
      </c>
      <c r="M3" s="54" t="s">
        <v>61</v>
      </c>
      <c r="N3" s="53" t="s">
        <v>48</v>
      </c>
      <c r="O3" s="54" t="s">
        <v>62</v>
      </c>
      <c r="P3" s="52"/>
    </row>
    <row r="4" spans="12:16" x14ac:dyDescent="0.3">
      <c r="M4" s="96">
        <f>16127.44-146.76</f>
        <v>15980.68</v>
      </c>
      <c r="N4" s="53" t="s">
        <v>48</v>
      </c>
      <c r="O4" s="97">
        <f>M4</f>
        <v>15980.68</v>
      </c>
      <c r="P4" s="79">
        <f>M4/O4</f>
        <v>1</v>
      </c>
    </row>
    <row r="30" spans="12:16" x14ac:dyDescent="0.3">
      <c r="L30" s="19" t="s">
        <v>57</v>
      </c>
      <c r="M30" s="54" t="s">
        <v>58</v>
      </c>
      <c r="N30" s="53" t="s">
        <v>48</v>
      </c>
      <c r="O30" s="54" t="s">
        <v>59</v>
      </c>
      <c r="P30" s="52"/>
    </row>
    <row r="31" spans="12:16" x14ac:dyDescent="0.3">
      <c r="M31" s="85">
        <f xml:space="preserve"> 11.3%+13.01%+10.71%+5.22%+4.54%+3.27%</f>
        <v>0.48049999999999998</v>
      </c>
      <c r="N31" s="53" t="s">
        <v>48</v>
      </c>
      <c r="O31" s="70">
        <v>6</v>
      </c>
      <c r="P31" s="79">
        <f>1-M31/O31</f>
        <v>0.91991666666666672</v>
      </c>
    </row>
    <row r="34" spans="13:15" x14ac:dyDescent="0.3">
      <c r="M34" s="98"/>
      <c r="O34" s="99"/>
    </row>
    <row r="53" spans="13:17" x14ac:dyDescent="0.3">
      <c r="M53" s="19" t="s">
        <v>53</v>
      </c>
      <c r="N53" s="54" t="s">
        <v>54</v>
      </c>
      <c r="O53" s="53" t="s">
        <v>56</v>
      </c>
      <c r="P53" s="54" t="s">
        <v>55</v>
      </c>
      <c r="Q53" s="52"/>
    </row>
    <row r="54" spans="13:17" ht="21" x14ac:dyDescent="0.4">
      <c r="N54" s="82">
        <f>P4</f>
        <v>1</v>
      </c>
      <c r="O54" s="53" t="s">
        <v>56</v>
      </c>
      <c r="P54" s="81">
        <f>P31</f>
        <v>0.91991666666666672</v>
      </c>
      <c r="Q54" s="89">
        <f>N54*P54</f>
        <v>0.91991666666666672</v>
      </c>
    </row>
  </sheetData>
  <pageMargins left="0.7" right="0.7" top="0.75" bottom="0.75" header="0.3" footer="0.3"/>
  <pageSetup paperSize="8" scale="65" orientation="landscape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54A52-246F-49A3-B3FF-EB60016E0B33}">
  <dimension ref="A2:A5"/>
  <sheetViews>
    <sheetView workbookViewId="0"/>
  </sheetViews>
  <sheetFormatPr defaultColWidth="8.88671875" defaultRowHeight="14.4" x14ac:dyDescent="0.3"/>
  <cols>
    <col min="1" max="1" width="162.5546875" customWidth="1"/>
  </cols>
  <sheetData>
    <row r="2" spans="1:1" ht="15.6" x14ac:dyDescent="0.3">
      <c r="A2" s="86" t="s">
        <v>69</v>
      </c>
    </row>
    <row r="3" spans="1:1" ht="15.6" x14ac:dyDescent="0.3">
      <c r="A3" s="87" t="s">
        <v>70</v>
      </c>
    </row>
    <row r="4" spans="1:1" ht="15.6" x14ac:dyDescent="0.3">
      <c r="A4" s="87" t="s">
        <v>71</v>
      </c>
    </row>
    <row r="5" spans="1:1" ht="15.6" x14ac:dyDescent="0.3">
      <c r="A5" s="87" t="s">
        <v>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D1E54-45BF-44FB-9CE1-0AC1B015B7F2}">
  <dimension ref="B2:G7"/>
  <sheetViews>
    <sheetView workbookViewId="0">
      <selection activeCell="B6" sqref="B6"/>
    </sheetView>
  </sheetViews>
  <sheetFormatPr defaultRowHeight="14.4" x14ac:dyDescent="0.3"/>
  <cols>
    <col min="3" max="3" width="43" customWidth="1"/>
    <col min="4" max="4" width="14.88671875" customWidth="1"/>
    <col min="6" max="6" width="17.6640625" customWidth="1"/>
    <col min="7" max="7" width="14.109375" customWidth="1"/>
  </cols>
  <sheetData>
    <row r="2" spans="2:7" x14ac:dyDescent="0.3">
      <c r="B2" s="91" t="s">
        <v>80</v>
      </c>
      <c r="C2" s="91" t="s">
        <v>63</v>
      </c>
      <c r="D2" s="19" t="s">
        <v>64</v>
      </c>
      <c r="E2" s="19" t="s">
        <v>46</v>
      </c>
      <c r="F2" s="19" t="s">
        <v>65</v>
      </c>
      <c r="G2" s="7"/>
    </row>
    <row r="3" spans="2:7" ht="21" x14ac:dyDescent="0.3">
      <c r="D3" s="57">
        <f>'Efficacia R1'!D58</f>
        <v>1</v>
      </c>
      <c r="E3" s="19" t="s">
        <v>46</v>
      </c>
      <c r="F3" s="56">
        <f>'Efficacia R1'!F58</f>
        <v>0.96743518934263995</v>
      </c>
      <c r="G3" s="83">
        <f>IF(D3*F3&lt;'Y1a - Y2a'!H9,'Y1a - Y2a'!H9,D3*F3)</f>
        <v>0.96743518934263995</v>
      </c>
    </row>
    <row r="4" spans="2:7" x14ac:dyDescent="0.3">
      <c r="B4" s="8"/>
      <c r="C4" s="8"/>
      <c r="D4" s="8"/>
      <c r="E4" s="8"/>
      <c r="F4" s="8"/>
      <c r="G4" s="8"/>
    </row>
    <row r="6" spans="2:7" x14ac:dyDescent="0.3">
      <c r="B6" s="19" t="s">
        <v>81</v>
      </c>
      <c r="C6" s="19" t="s">
        <v>53</v>
      </c>
      <c r="D6" s="54" t="s">
        <v>54</v>
      </c>
      <c r="E6" s="53" t="s">
        <v>56</v>
      </c>
      <c r="F6" s="54" t="s">
        <v>55</v>
      </c>
      <c r="G6" s="52"/>
    </row>
    <row r="7" spans="2:7" ht="21" x14ac:dyDescent="0.4">
      <c r="D7" s="82">
        <f>'Efficacia R2'!N54</f>
        <v>1</v>
      </c>
      <c r="E7" s="53" t="s">
        <v>56</v>
      </c>
      <c r="F7" s="81">
        <f>'Efficacia R2'!P54</f>
        <v>0.91991666666666672</v>
      </c>
      <c r="G7" s="89">
        <f>D7*F7</f>
        <v>0.91991666666666672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11</vt:i4>
      </vt:variant>
      <vt:variant>
        <vt:lpstr>Intervalli denominati</vt:lpstr>
      </vt:variant>
      <vt:variant>
        <vt:i4>2</vt:i4>
      </vt:variant>
    </vt:vector>
  </HeadingPairs>
  <TitlesOfParts>
    <vt:vector size="13" baseType="lpstr">
      <vt:lpstr>Y1a - Y2a</vt:lpstr>
      <vt:lpstr>Sharing ba</vt:lpstr>
      <vt:lpstr>Ka</vt:lpstr>
      <vt:lpstr>Sintesi Ka</vt:lpstr>
      <vt:lpstr>Xa</vt:lpstr>
      <vt:lpstr>Sintesi Xa</vt:lpstr>
      <vt:lpstr>Efficacia R1</vt:lpstr>
      <vt:lpstr>Conteggi R1</vt:lpstr>
      <vt:lpstr>Efficacia R2</vt:lpstr>
      <vt:lpstr>Conteggi R2</vt:lpstr>
      <vt:lpstr>R1+R2</vt:lpstr>
      <vt:lpstr>'Sharing ba'!Area_stampa</vt:lpstr>
      <vt:lpstr>'Y1a - Y2a'!Area_stampa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2026-06-05T11:13:38Z</dcterms:modified>
</cp:coreProperties>
</file>